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90" windowWidth="20730" windowHeight="11760"/>
  </bookViews>
  <sheets>
    <sheet name="Weight &amp; Ballance" sheetId="1" r:id="rId1"/>
    <sheet name="Performance Charts" sheetId="2" r:id="rId2"/>
    <sheet name="Data" sheetId="3" r:id="rId3"/>
  </sheets>
  <definedNames>
    <definedName name="Aerodrome">Data!$A$15:$A$24</definedName>
    <definedName name="Aircraft">Data!$A$3:$A$7</definedName>
    <definedName name="AircraftData">Data!$A$3:$C$7</definedName>
    <definedName name="Airport">Data!$A$28:$A$53</definedName>
    <definedName name="EKAH">Data!$B$19:$C$19</definedName>
    <definedName name="EKBI">Data!$B$21:$C$21</definedName>
    <definedName name="EKCH">Data!$B$23:$G$23</definedName>
    <definedName name="EKKA">Data!$B$22:$C$22</definedName>
    <definedName name="EKOD">Data!$B$16:$C$16</definedName>
    <definedName name="EKRK">Data!$B$15:$E$15</definedName>
    <definedName name="EKSP">Data!$B$24:$C$24</definedName>
    <definedName name="EKYT">Data!$B$20:$C$20</definedName>
    <definedName name="ESMS">Data!$B$17:$C$17</definedName>
    <definedName name="ESTA">Data!$B$18:$C$18</definedName>
    <definedName name="Fuel">Data!$A$10:$A$11</definedName>
    <definedName name="FuelData">Data!$A$10:$B$11</definedName>
    <definedName name="Runway">Data!$B$28:$B$53</definedName>
    <definedName name="Type">Data!$C$28:$C$53</definedName>
    <definedName name="_xlnm.Print_Area" localSheetId="0">'Weight &amp; Ballance'!$A$1:$M$63</definedName>
    <definedName name="VIZ">Data!$E$28:$E$53</definedName>
    <definedName name="VV">Data!$D$28:$D$53</definedName>
  </definedNames>
  <calcPr calcId="124519"/>
</workbook>
</file>

<file path=xl/calcChain.xml><?xml version="1.0" encoding="utf-8"?>
<calcChain xmlns="http://schemas.openxmlformats.org/spreadsheetml/2006/main">
  <c r="L8" i="1"/>
  <c r="L5" l="1"/>
  <c r="C21" s="1"/>
  <c r="F57" a="1"/>
  <c r="F57" s="1"/>
  <c r="F58" a="1"/>
  <c r="F58" s="1"/>
  <c r="F56" a="1"/>
  <c r="F56" s="1"/>
  <c r="E57" a="1"/>
  <c r="E57" s="1"/>
  <c r="E58" a="1"/>
  <c r="E58" s="1"/>
  <c r="E56" a="1"/>
  <c r="E56" s="1"/>
  <c r="D58" a="1"/>
  <c r="D58" s="1"/>
  <c r="D57" a="1"/>
  <c r="D57" s="1"/>
  <c r="D56" a="1"/>
  <c r="D56" s="1"/>
  <c r="B10" i="3" l="1"/>
  <c r="B11"/>
  <c r="D15" i="1"/>
  <c r="C15"/>
  <c r="H8"/>
  <c r="C8"/>
  <c r="M52"/>
  <c r="H11" s="1"/>
  <c r="L52"/>
  <c r="H10" s="1"/>
  <c r="M46"/>
  <c r="C11" s="1"/>
  <c r="L46"/>
  <c r="C10" s="1"/>
  <c r="E50"/>
  <c r="E51" s="1"/>
  <c r="E33"/>
  <c r="E34" s="1"/>
  <c r="E19"/>
  <c r="E18"/>
  <c r="E17"/>
  <c r="C16"/>
  <c r="H5"/>
  <c r="C5"/>
  <c r="C20" l="1"/>
  <c r="C23" s="1"/>
  <c r="E15"/>
  <c r="E16"/>
  <c r="L7"/>
  <c r="E21"/>
  <c r="C22" l="1"/>
  <c r="J6"/>
  <c r="L6" s="1"/>
  <c r="L9" l="1"/>
  <c r="L10" s="1"/>
  <c r="J9"/>
  <c r="L11" l="1"/>
  <c r="J10"/>
  <c r="J11" s="1"/>
  <c r="E23"/>
  <c r="D23" s="1"/>
  <c r="E20"/>
  <c r="E22" s="1"/>
  <c r="D22" s="1"/>
  <c r="D20" l="1"/>
</calcChain>
</file>

<file path=xl/comments1.xml><?xml version="1.0" encoding="utf-8"?>
<comments xmlns="http://schemas.openxmlformats.org/spreadsheetml/2006/main">
  <authors>
    <author>Vatslav Roudnitski</author>
  </authors>
  <commentList>
    <comment ref="J4" authorId="0">
      <text>
        <r>
          <rPr>
            <b/>
            <sz val="8"/>
            <color indexed="81"/>
            <rFont val="Tahoma"/>
            <charset val="1"/>
          </rPr>
          <t>AOM page 5-20</t>
        </r>
      </text>
    </comment>
    <comment ref="L4" authorId="0">
      <text>
        <r>
          <rPr>
            <b/>
            <sz val="8"/>
            <color indexed="81"/>
            <rFont val="Tahoma"/>
            <charset val="1"/>
          </rPr>
          <t>AOM page 5-20</t>
        </r>
      </text>
    </comment>
    <comment ref="J5" authorId="0">
      <text>
        <r>
          <rPr>
            <b/>
            <sz val="8"/>
            <color indexed="81"/>
            <rFont val="Tahoma"/>
            <charset val="1"/>
          </rPr>
          <t>Time from flightplan</t>
        </r>
      </text>
    </comment>
    <comment ref="J8" authorId="0">
      <text>
        <r>
          <rPr>
            <b/>
            <sz val="8"/>
            <color indexed="81"/>
            <rFont val="Tahoma"/>
            <charset val="1"/>
          </rPr>
          <t>Time from flightplan</t>
        </r>
      </text>
    </comment>
    <comment ref="B62" authorId="0">
      <text>
        <r>
          <rPr>
            <b/>
            <sz val="8"/>
            <color indexed="81"/>
            <rFont val="Tahoma"/>
            <charset val="1"/>
          </rPr>
          <t>BL 5-60 Tabel 3</t>
        </r>
      </text>
    </comment>
  </commentList>
</comments>
</file>

<file path=xl/sharedStrings.xml><?xml version="1.0" encoding="utf-8"?>
<sst xmlns="http://schemas.openxmlformats.org/spreadsheetml/2006/main" count="278" uniqueCount="171">
  <si>
    <t>Elevation</t>
  </si>
  <si>
    <t>QNH</t>
  </si>
  <si>
    <t>Pressure alt.</t>
  </si>
  <si>
    <t>TAS (kts)</t>
  </si>
  <si>
    <t>RPM</t>
  </si>
  <si>
    <t>W/V</t>
  </si>
  <si>
    <t>Expect RWY</t>
  </si>
  <si>
    <t>XWC max. 17 kts</t>
  </si>
  <si>
    <t>HWC</t>
  </si>
  <si>
    <t>Departure</t>
  </si>
  <si>
    <t>ALT.</t>
  </si>
  <si>
    <t>Destination</t>
  </si>
  <si>
    <t>Time</t>
  </si>
  <si>
    <t>Gallon</t>
  </si>
  <si>
    <t>Taxi</t>
  </si>
  <si>
    <t>Climb</t>
  </si>
  <si>
    <t>Trip</t>
  </si>
  <si>
    <t>10% cont. Fuel</t>
  </si>
  <si>
    <t>Final reserve</t>
  </si>
  <si>
    <t>Alternate 1</t>
  </si>
  <si>
    <t>Min Block</t>
  </si>
  <si>
    <t>Extra</t>
  </si>
  <si>
    <t>Endurance</t>
  </si>
  <si>
    <t>MASS</t>
  </si>
  <si>
    <t>ARM</t>
  </si>
  <si>
    <t>BALANCE</t>
  </si>
  <si>
    <t>Empty mass</t>
  </si>
  <si>
    <t>Front seats</t>
  </si>
  <si>
    <t>Rear seats</t>
  </si>
  <si>
    <t>Fuel consumption</t>
  </si>
  <si>
    <t>Zero fuel mass</t>
  </si>
  <si>
    <t>Take - off distance from AOM (to 50 ft.)</t>
  </si>
  <si>
    <t>Landing distance from AOM (to 50 ft)</t>
  </si>
  <si>
    <t>Dry grass (max 20 cm)</t>
  </si>
  <si>
    <t>Runway upslope</t>
  </si>
  <si>
    <t>Water or slush (max. 2,5 cm)</t>
  </si>
  <si>
    <t>Wet snow (max. 5 cm)</t>
  </si>
  <si>
    <t>Dry snow (max. 10 cm)</t>
  </si>
  <si>
    <t>CORRECTED TAKE - OFF DISTANCE</t>
  </si>
  <si>
    <t>TAKE - OFF DISTANCE AVALIBLE (TODA)</t>
  </si>
  <si>
    <t>Wet grass (max 20 cm)</t>
  </si>
  <si>
    <t>Dry solid snow or dry ice</t>
  </si>
  <si>
    <t>Wet solid snow or wet ice</t>
  </si>
  <si>
    <t xml:space="preserve">Soft or long grass                                       </t>
  </si>
  <si>
    <t xml:space="preserve">Solid with short grass (5-10 cm)            </t>
  </si>
  <si>
    <t>5%    pr. 1%</t>
  </si>
  <si>
    <t xml:space="preserve">20%  pr. cm </t>
  </si>
  <si>
    <t xml:space="preserve">10%  pr. cm </t>
  </si>
  <si>
    <t xml:space="preserve">5%    pr. cm </t>
  </si>
  <si>
    <t>Runway downslope</t>
  </si>
  <si>
    <t>MAX WXC</t>
  </si>
  <si>
    <t>FACTOR</t>
  </si>
  <si>
    <t>≥ .40</t>
  </si>
  <si>
    <t>.36 - .39</t>
  </si>
  <si>
    <t>.30 - .35</t>
  </si>
  <si>
    <t>.26 - .29</t>
  </si>
  <si>
    <t>≤ .25</t>
  </si>
  <si>
    <t>17 kts.</t>
  </si>
  <si>
    <t>14 kts.</t>
  </si>
  <si>
    <t>11 kts.</t>
  </si>
  <si>
    <t>8 kts.</t>
  </si>
  <si>
    <t>5 kts.</t>
  </si>
  <si>
    <t>BRAKING ACTION</t>
  </si>
  <si>
    <t>PERFORMANCE TABEL</t>
  </si>
  <si>
    <t>LANDING</t>
  </si>
  <si>
    <t>FUEL</t>
  </si>
  <si>
    <t>MASS AND BALLANCE</t>
  </si>
  <si>
    <t>TAKE - OFF</t>
  </si>
  <si>
    <t>TOM (MTOM 2325 Lbs)</t>
  </si>
  <si>
    <t>7,8 USG/H</t>
  </si>
  <si>
    <t>CORRECTED LANDING DISTANCE</t>
  </si>
  <si>
    <t>LANDING DISTANCE REQUIRED  x 1,43</t>
  </si>
  <si>
    <t>LANDING DISTANCE AVAILABLE (LDA)</t>
  </si>
  <si>
    <t>TAKE - OFF DISTANCE REQUIRED (TORA) x 1,25</t>
  </si>
  <si>
    <t>1 USG</t>
  </si>
  <si>
    <t>=</t>
  </si>
  <si>
    <t>1 KG</t>
  </si>
  <si>
    <t>6 LBS</t>
  </si>
  <si>
    <t>2,2 LBS</t>
  </si>
  <si>
    <t>1 M</t>
  </si>
  <si>
    <t>3,28 FT</t>
  </si>
  <si>
    <t>Aft compart max. 50 Lbs (+5)</t>
  </si>
  <si>
    <t>Degrees:</t>
  </si>
  <si>
    <t>10°</t>
  </si>
  <si>
    <t>20°</t>
  </si>
  <si>
    <t>30°</t>
  </si>
  <si>
    <t>40°</t>
  </si>
  <si>
    <t>50°</t>
  </si>
  <si>
    <t>60°</t>
  </si>
  <si>
    <t>70°</t>
  </si>
  <si>
    <t>80°</t>
  </si>
  <si>
    <t>90°</t>
  </si>
  <si>
    <t>SIN ≈</t>
  </si>
  <si>
    <t>COS ≈</t>
  </si>
  <si>
    <t>Head Wind</t>
  </si>
  <si>
    <t>XWIND</t>
  </si>
  <si>
    <t>Wind:</t>
  </si>
  <si>
    <t>Velocity:</t>
  </si>
  <si>
    <t>XWIND:</t>
  </si>
  <si>
    <t>Head Wind:</t>
  </si>
  <si>
    <t>Departure:</t>
  </si>
  <si>
    <t>Destination:</t>
  </si>
  <si>
    <t>Arm:</t>
  </si>
  <si>
    <t>Mass:</t>
  </si>
  <si>
    <t>Aircraft:</t>
  </si>
  <si>
    <t>OY-JBF</t>
  </si>
  <si>
    <t>OY-JEB</t>
  </si>
  <si>
    <t>OY-JEC</t>
  </si>
  <si>
    <t>OY-JED</t>
  </si>
  <si>
    <t>OY-JEE</t>
  </si>
  <si>
    <t>Fuel:</t>
  </si>
  <si>
    <t>Fuel USG</t>
  </si>
  <si>
    <t>Landing mass MLM 2325 Lbs.</t>
  </si>
  <si>
    <t>PLANNING MINIMA</t>
  </si>
  <si>
    <t>DEST</t>
  </si>
  <si>
    <t>ALT 1</t>
  </si>
  <si>
    <t>ALT 2</t>
  </si>
  <si>
    <t>RWY</t>
  </si>
  <si>
    <t>TYPE</t>
  </si>
  <si>
    <t>VV.</t>
  </si>
  <si>
    <t>VIZ</t>
  </si>
  <si>
    <t>Aerodromes</t>
  </si>
  <si>
    <t>EKRK</t>
  </si>
  <si>
    <t>RWY 11</t>
  </si>
  <si>
    <t>RWY 21</t>
  </si>
  <si>
    <t>RWY 03</t>
  </si>
  <si>
    <t>RWY 29</t>
  </si>
  <si>
    <t>EKOD</t>
  </si>
  <si>
    <t>RWY 06</t>
  </si>
  <si>
    <t>RWY 24</t>
  </si>
  <si>
    <t>ESMS</t>
  </si>
  <si>
    <t>RWY 17</t>
  </si>
  <si>
    <t>RWY 35</t>
  </si>
  <si>
    <t>ESTA</t>
  </si>
  <si>
    <t>RWY 14</t>
  </si>
  <si>
    <t>RWY 32</t>
  </si>
  <si>
    <t>EKAH</t>
  </si>
  <si>
    <t>RWY 10R</t>
  </si>
  <si>
    <t>RWY 28L</t>
  </si>
  <si>
    <t>EKYT</t>
  </si>
  <si>
    <t>RWY 08L</t>
  </si>
  <si>
    <t>RWY 26R</t>
  </si>
  <si>
    <t>EKBI</t>
  </si>
  <si>
    <t>RWY 09</t>
  </si>
  <si>
    <t>RWY 27</t>
  </si>
  <si>
    <t>EKKA</t>
  </si>
  <si>
    <t>RWY 27L</t>
  </si>
  <si>
    <t>EKCH</t>
  </si>
  <si>
    <t>RWY 04L</t>
  </si>
  <si>
    <t>RWY 04R</t>
  </si>
  <si>
    <t>RWY 12</t>
  </si>
  <si>
    <t>RWY 22L</t>
  </si>
  <si>
    <t>RWY 22R</t>
  </si>
  <si>
    <t>RWY 30</t>
  </si>
  <si>
    <t>EKSP</t>
  </si>
  <si>
    <t>RWY 10L</t>
  </si>
  <si>
    <t>RWY 28R</t>
  </si>
  <si>
    <t>Airport</t>
  </si>
  <si>
    <t>Runway</t>
  </si>
  <si>
    <t>Type</t>
  </si>
  <si>
    <t>ILS</t>
  </si>
  <si>
    <t>-</t>
  </si>
  <si>
    <t>Circling</t>
  </si>
  <si>
    <t>RWY 09R</t>
  </si>
  <si>
    <t>T/O MINIMA</t>
  </si>
  <si>
    <t>VV</t>
  </si>
  <si>
    <t>T/O ALTERNATE</t>
  </si>
  <si>
    <r>
      <t xml:space="preserve">VIZ / </t>
    </r>
    <r>
      <rPr>
        <b/>
        <sz val="9"/>
        <color theme="1"/>
        <rFont val="Arial"/>
        <family val="2"/>
      </rPr>
      <t>RVR</t>
    </r>
  </si>
  <si>
    <t>LLZ</t>
  </si>
  <si>
    <t>8,8 USG/H</t>
  </si>
  <si>
    <t>NDB</t>
  </si>
</sst>
</file>

<file path=xl/styles.xml><?xml version="1.0" encoding="utf-8"?>
<styleSheet xmlns="http://schemas.openxmlformats.org/spreadsheetml/2006/main">
  <numFmts count="1">
    <numFmt numFmtId="164" formatCode="0.0"/>
  </numFmts>
  <fonts count="7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b/>
      <sz val="8"/>
      <color indexed="81"/>
      <name val="Tahoma"/>
      <charset val="1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</fills>
  <borders count="5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</borders>
  <cellStyleXfs count="1">
    <xf numFmtId="0" fontId="0" fillId="0" borderId="0"/>
  </cellStyleXfs>
  <cellXfs count="193">
    <xf numFmtId="0" fontId="0" fillId="0" borderId="0" xfId="0"/>
    <xf numFmtId="0" fontId="0" fillId="4" borderId="8" xfId="0" applyFill="1" applyBorder="1" applyAlignment="1">
      <alignment horizontal="center"/>
    </xf>
    <xf numFmtId="2" fontId="0" fillId="4" borderId="9" xfId="0" applyNumberFormat="1" applyFill="1" applyBorder="1" applyAlignment="1">
      <alignment horizontal="center"/>
    </xf>
    <xf numFmtId="2" fontId="0" fillId="4" borderId="11" xfId="0" applyNumberFormat="1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2" fontId="0" fillId="4" borderId="1" xfId="0" applyNumberFormat="1" applyFill="1" applyBorder="1" applyAlignment="1">
      <alignment horizontal="center"/>
    </xf>
    <xf numFmtId="2" fontId="0" fillId="4" borderId="4" xfId="0" applyNumberForma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0" fontId="0" fillId="0" borderId="0" xfId="0" applyAlignment="1"/>
    <xf numFmtId="0" fontId="1" fillId="0" borderId="0" xfId="0" applyFont="1"/>
    <xf numFmtId="0" fontId="2" fillId="0" borderId="0" xfId="0" applyFont="1"/>
    <xf numFmtId="0" fontId="0" fillId="0" borderId="0" xfId="0" applyBorder="1"/>
    <xf numFmtId="0" fontId="1" fillId="0" borderId="0" xfId="0" applyFont="1" applyAlignment="1">
      <alignment horizontal="left"/>
    </xf>
    <xf numFmtId="0" fontId="2" fillId="0" borderId="0" xfId="0" applyFont="1" applyAlignment="1"/>
    <xf numFmtId="0" fontId="0" fillId="0" borderId="0" xfId="0" applyAlignment="1">
      <alignment horizontal="right"/>
    </xf>
    <xf numFmtId="0" fontId="2" fillId="0" borderId="0" xfId="0" applyFont="1" applyAlignment="1">
      <alignment horizontal="right"/>
    </xf>
    <xf numFmtId="0" fontId="4" fillId="0" borderId="0" xfId="0" applyFont="1"/>
    <xf numFmtId="0" fontId="4" fillId="0" borderId="2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2" borderId="1" xfId="0" applyFont="1" applyFill="1" applyBorder="1"/>
    <xf numFmtId="0" fontId="4" fillId="3" borderId="9" xfId="0" applyFont="1" applyFill="1" applyBorder="1" applyAlignment="1">
      <alignment horizontal="center"/>
    </xf>
    <xf numFmtId="0" fontId="4" fillId="2" borderId="8" xfId="0" applyFont="1" applyFill="1" applyBorder="1"/>
    <xf numFmtId="0" fontId="4" fillId="0" borderId="1" xfId="0" applyFont="1" applyBorder="1"/>
    <xf numFmtId="2" fontId="4" fillId="4" borderId="9" xfId="0" applyNumberFormat="1" applyFont="1" applyFill="1" applyBorder="1" applyAlignment="1">
      <alignment horizontal="center"/>
    </xf>
    <xf numFmtId="0" fontId="4" fillId="4" borderId="8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4" fillId="4" borderId="9" xfId="0" applyFont="1" applyFill="1" applyBorder="1" applyAlignment="1">
      <alignment horizontal="center"/>
    </xf>
    <xf numFmtId="0" fontId="4" fillId="3" borderId="8" xfId="0" applyFont="1" applyFill="1" applyBorder="1" applyAlignment="1">
      <alignment horizontal="center"/>
    </xf>
    <xf numFmtId="0" fontId="4" fillId="0" borderId="40" xfId="0" applyFont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41" xfId="0" applyFont="1" applyBorder="1" applyAlignment="1">
      <alignment horizontal="center"/>
    </xf>
    <xf numFmtId="0" fontId="4" fillId="4" borderId="1" xfId="0" applyNumberFormat="1" applyFont="1" applyFill="1" applyBorder="1" applyAlignment="1">
      <alignment horizontal="center"/>
    </xf>
    <xf numFmtId="0" fontId="4" fillId="0" borderId="3" xfId="0" applyFont="1" applyBorder="1"/>
    <xf numFmtId="0" fontId="4" fillId="4" borderId="6" xfId="0" applyFont="1" applyFill="1" applyBorder="1" applyAlignment="1">
      <alignment horizontal="center"/>
    </xf>
    <xf numFmtId="0" fontId="4" fillId="0" borderId="2" xfId="0" applyFont="1" applyBorder="1"/>
    <xf numFmtId="2" fontId="4" fillId="4" borderId="7" xfId="0" applyNumberFormat="1" applyFont="1" applyFill="1" applyBorder="1" applyAlignment="1">
      <alignment horizontal="center"/>
    </xf>
    <xf numFmtId="164" fontId="4" fillId="4" borderId="1" xfId="0" applyNumberFormat="1" applyFont="1" applyFill="1" applyBorder="1" applyAlignment="1">
      <alignment horizontal="center"/>
    </xf>
    <xf numFmtId="164" fontId="4" fillId="4" borderId="9" xfId="0" applyNumberFormat="1" applyFont="1" applyFill="1" applyBorder="1" applyAlignment="1">
      <alignment horizontal="center"/>
    </xf>
    <xf numFmtId="1" fontId="4" fillId="4" borderId="8" xfId="0" applyNumberFormat="1" applyFont="1" applyFill="1" applyBorder="1" applyAlignment="1">
      <alignment horizontal="center"/>
    </xf>
    <xf numFmtId="164" fontId="4" fillId="4" borderId="4" xfId="0" applyNumberFormat="1" applyFont="1" applyFill="1" applyBorder="1" applyAlignment="1">
      <alignment horizontal="center"/>
    </xf>
    <xf numFmtId="0" fontId="4" fillId="2" borderId="4" xfId="0" applyFont="1" applyFill="1" applyBorder="1"/>
    <xf numFmtId="164" fontId="4" fillId="4" borderId="11" xfId="0" applyNumberFormat="1" applyFont="1" applyFill="1" applyBorder="1" applyAlignment="1">
      <alignment horizontal="center"/>
    </xf>
    <xf numFmtId="1" fontId="4" fillId="4" borderId="10" xfId="0" applyNumberFormat="1" applyFont="1" applyFill="1" applyBorder="1" applyAlignment="1">
      <alignment horizontal="center"/>
    </xf>
    <xf numFmtId="0" fontId="4" fillId="0" borderId="4" xfId="0" applyFont="1" applyBorder="1"/>
    <xf numFmtId="2" fontId="4" fillId="4" borderId="11" xfId="0" applyNumberFormat="1" applyFont="1" applyFill="1" applyBorder="1" applyAlignment="1">
      <alignment horizontal="center"/>
    </xf>
    <xf numFmtId="0" fontId="4" fillId="0" borderId="20" xfId="0" applyFont="1" applyBorder="1" applyAlignment="1"/>
    <xf numFmtId="0" fontId="4" fillId="3" borderId="17" xfId="0" applyFont="1" applyFill="1" applyBorder="1" applyAlignment="1">
      <alignment horizontal="center"/>
    </xf>
    <xf numFmtId="2" fontId="4" fillId="4" borderId="1" xfId="0" applyNumberFormat="1" applyFont="1" applyFill="1" applyBorder="1" applyAlignment="1">
      <alignment horizontal="center"/>
    </xf>
    <xf numFmtId="2" fontId="5" fillId="4" borderId="1" xfId="0" applyNumberFormat="1" applyFont="1" applyFill="1" applyBorder="1" applyAlignment="1">
      <alignment horizontal="center"/>
    </xf>
    <xf numFmtId="1" fontId="4" fillId="4" borderId="9" xfId="0" applyNumberFormat="1" applyFont="1" applyFill="1" applyBorder="1" applyAlignment="1">
      <alignment horizontal="center"/>
    </xf>
    <xf numFmtId="164" fontId="4" fillId="3" borderId="17" xfId="0" applyNumberFormat="1" applyFont="1" applyFill="1" applyBorder="1" applyAlignment="1">
      <alignment horizontal="center"/>
    </xf>
    <xf numFmtId="164" fontId="4" fillId="3" borderId="1" xfId="0" applyNumberFormat="1" applyFont="1" applyFill="1" applyBorder="1" applyAlignment="1">
      <alignment horizontal="center"/>
    </xf>
    <xf numFmtId="164" fontId="4" fillId="3" borderId="4" xfId="0" applyNumberFormat="1" applyFont="1" applyFill="1" applyBorder="1" applyAlignment="1">
      <alignment horizontal="center"/>
    </xf>
    <xf numFmtId="1" fontId="4" fillId="4" borderId="11" xfId="0" applyNumberFormat="1" applyFont="1" applyFill="1" applyBorder="1" applyAlignment="1">
      <alignment horizontal="center"/>
    </xf>
    <xf numFmtId="164" fontId="4" fillId="4" borderId="2" xfId="0" applyNumberFormat="1" applyFont="1" applyFill="1" applyBorder="1" applyAlignment="1">
      <alignment horizontal="center"/>
    </xf>
    <xf numFmtId="1" fontId="4" fillId="4" borderId="7" xfId="0" applyNumberFormat="1" applyFont="1" applyFill="1" applyBorder="1" applyAlignment="1">
      <alignment horizontal="center"/>
    </xf>
    <xf numFmtId="164" fontId="4" fillId="4" borderId="5" xfId="0" applyNumberFormat="1" applyFont="1" applyFill="1" applyBorder="1" applyAlignment="1">
      <alignment horizontal="center"/>
    </xf>
    <xf numFmtId="1" fontId="4" fillId="4" borderId="13" xfId="0" applyNumberFormat="1" applyFont="1" applyFill="1" applyBorder="1" applyAlignment="1">
      <alignment horizontal="center"/>
    </xf>
    <xf numFmtId="0" fontId="4" fillId="3" borderId="37" xfId="0" applyFont="1" applyFill="1" applyBorder="1" applyAlignment="1">
      <alignment horizontal="center"/>
    </xf>
    <xf numFmtId="9" fontId="4" fillId="0" borderId="29" xfId="0" applyNumberFormat="1" applyFont="1" applyBorder="1" applyAlignment="1">
      <alignment horizontal="left"/>
    </xf>
    <xf numFmtId="0" fontId="4" fillId="5" borderId="40" xfId="0" applyFont="1" applyFill="1" applyBorder="1" applyAlignment="1">
      <alignment horizontal="center"/>
    </xf>
    <xf numFmtId="9" fontId="4" fillId="0" borderId="30" xfId="0" applyNumberFormat="1" applyFont="1" applyBorder="1" applyAlignment="1">
      <alignment horizontal="left"/>
    </xf>
    <xf numFmtId="0" fontId="4" fillId="5" borderId="39" xfId="0" applyFont="1" applyFill="1" applyBorder="1" applyAlignment="1">
      <alignment horizontal="center"/>
    </xf>
    <xf numFmtId="9" fontId="4" fillId="0" borderId="30" xfId="0" applyNumberFormat="1" applyFont="1" applyBorder="1"/>
    <xf numFmtId="9" fontId="4" fillId="0" borderId="31" xfId="0" applyNumberFormat="1" applyFont="1" applyBorder="1"/>
    <xf numFmtId="0" fontId="4" fillId="5" borderId="41" xfId="0" applyFont="1" applyFill="1" applyBorder="1" applyAlignment="1">
      <alignment horizontal="center"/>
    </xf>
    <xf numFmtId="1" fontId="4" fillId="4" borderId="38" xfId="0" applyNumberFormat="1" applyFont="1" applyFill="1" applyBorder="1" applyAlignment="1">
      <alignment horizontal="center"/>
    </xf>
    <xf numFmtId="1" fontId="4" fillId="4" borderId="39" xfId="0" applyNumberFormat="1" applyFont="1" applyFill="1" applyBorder="1" applyAlignment="1">
      <alignment horizontal="center"/>
    </xf>
    <xf numFmtId="0" fontId="4" fillId="3" borderId="41" xfId="0" applyFont="1" applyFill="1" applyBorder="1" applyAlignment="1">
      <alignment horizontal="center"/>
    </xf>
    <xf numFmtId="0" fontId="4" fillId="3" borderId="35" xfId="0" applyFont="1" applyFill="1" applyBorder="1" applyAlignment="1">
      <alignment horizontal="center"/>
    </xf>
    <xf numFmtId="0" fontId="4" fillId="4" borderId="42" xfId="0" applyFont="1" applyFill="1" applyBorder="1" applyAlignment="1">
      <alignment horizontal="center"/>
    </xf>
    <xf numFmtId="0" fontId="4" fillId="4" borderId="43" xfId="0" applyFont="1" applyFill="1" applyBorder="1" applyAlignment="1">
      <alignment horizontal="center"/>
    </xf>
    <xf numFmtId="0" fontId="4" fillId="4" borderId="44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9" fontId="4" fillId="0" borderId="44" xfId="0" applyNumberFormat="1" applyFont="1" applyBorder="1" applyAlignment="1">
      <alignment horizontal="left"/>
    </xf>
    <xf numFmtId="0" fontId="4" fillId="4" borderId="45" xfId="0" applyFont="1" applyFill="1" applyBorder="1" applyAlignment="1">
      <alignment horizontal="center"/>
    </xf>
    <xf numFmtId="0" fontId="4" fillId="4" borderId="0" xfId="0" applyFont="1" applyFill="1" applyBorder="1" applyAlignment="1">
      <alignment horizontal="center"/>
    </xf>
    <xf numFmtId="0" fontId="4" fillId="4" borderId="46" xfId="0" applyFont="1" applyFill="1" applyBorder="1" applyAlignment="1">
      <alignment horizontal="center"/>
    </xf>
    <xf numFmtId="9" fontId="4" fillId="0" borderId="46" xfId="0" applyNumberFormat="1" applyFont="1" applyBorder="1" applyAlignment="1">
      <alignment horizontal="left"/>
    </xf>
    <xf numFmtId="0" fontId="4" fillId="4" borderId="47" xfId="0" applyFont="1" applyFill="1" applyBorder="1" applyAlignment="1">
      <alignment horizontal="center"/>
    </xf>
    <xf numFmtId="0" fontId="4" fillId="4" borderId="48" xfId="0" applyFont="1" applyFill="1" applyBorder="1" applyAlignment="1">
      <alignment horizontal="center"/>
    </xf>
    <xf numFmtId="0" fontId="4" fillId="4" borderId="49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9" fontId="4" fillId="0" borderId="49" xfId="0" applyNumberFormat="1" applyFont="1" applyBorder="1" applyAlignment="1">
      <alignment horizontal="left"/>
    </xf>
    <xf numFmtId="0" fontId="4" fillId="0" borderId="43" xfId="0" applyFont="1" applyBorder="1" applyAlignment="1">
      <alignment horizontal="center"/>
    </xf>
    <xf numFmtId="0" fontId="4" fillId="2" borderId="37" xfId="0" applyFont="1" applyFill="1" applyBorder="1" applyAlignment="1">
      <alignment horizontal="center"/>
    </xf>
    <xf numFmtId="0" fontId="4" fillId="0" borderId="51" xfId="0" applyFont="1" applyBorder="1" applyAlignment="1">
      <alignment horizontal="center"/>
    </xf>
    <xf numFmtId="9" fontId="4" fillId="0" borderId="52" xfId="0" applyNumberFormat="1" applyFont="1" applyBorder="1" applyAlignment="1">
      <alignment horizontal="center"/>
    </xf>
    <xf numFmtId="0" fontId="4" fillId="2" borderId="36" xfId="0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9" fontId="4" fillId="0" borderId="30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164" fontId="5" fillId="4" borderId="8" xfId="0" applyNumberFormat="1" applyFont="1" applyFill="1" applyBorder="1" applyAlignment="1">
      <alignment horizontal="center"/>
    </xf>
    <xf numFmtId="0" fontId="4" fillId="0" borderId="34" xfId="0" applyFont="1" applyBorder="1" applyAlignment="1">
      <alignment horizontal="center"/>
    </xf>
    <xf numFmtId="9" fontId="4" fillId="0" borderId="31" xfId="0" applyNumberFormat="1" applyFont="1" applyBorder="1" applyAlignment="1">
      <alignment horizontal="center"/>
    </xf>
    <xf numFmtId="1" fontId="4" fillId="4" borderId="40" xfId="0" applyNumberFormat="1" applyFont="1" applyFill="1" applyBorder="1" applyAlignment="1">
      <alignment horizontal="center"/>
    </xf>
    <xf numFmtId="0" fontId="4" fillId="4" borderId="11" xfId="0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2" fontId="4" fillId="0" borderId="0" xfId="0" applyNumberFormat="1" applyFont="1"/>
    <xf numFmtId="2" fontId="4" fillId="0" borderId="53" xfId="0" applyNumberFormat="1" applyFont="1" applyFill="1" applyBorder="1" applyAlignment="1">
      <alignment horizontal="center"/>
    </xf>
    <xf numFmtId="0" fontId="4" fillId="0" borderId="53" xfId="0" applyFont="1" applyBorder="1" applyAlignment="1">
      <alignment horizontal="center"/>
    </xf>
    <xf numFmtId="0" fontId="4" fillId="0" borderId="56" xfId="0" applyFont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2" fontId="4" fillId="3" borderId="2" xfId="0" applyNumberFormat="1" applyFont="1" applyFill="1" applyBorder="1" applyAlignment="1">
      <alignment horizontal="center"/>
    </xf>
    <xf numFmtId="0" fontId="4" fillId="4" borderId="54" xfId="0" applyFont="1" applyFill="1" applyBorder="1" applyAlignment="1">
      <alignment horizontal="center"/>
    </xf>
    <xf numFmtId="0" fontId="4" fillId="4" borderId="2" xfId="0" applyFont="1" applyFill="1" applyBorder="1" applyAlignment="1">
      <alignment horizontal="center"/>
    </xf>
    <xf numFmtId="0" fontId="4" fillId="4" borderId="7" xfId="0" applyFont="1" applyFill="1" applyBorder="1" applyAlignment="1">
      <alignment horizontal="center"/>
    </xf>
    <xf numFmtId="0" fontId="4" fillId="0" borderId="8" xfId="0" applyFont="1" applyFill="1" applyBorder="1" applyAlignment="1">
      <alignment horizontal="center"/>
    </xf>
    <xf numFmtId="2" fontId="4" fillId="3" borderId="1" xfId="0" applyNumberFormat="1" applyFont="1" applyFill="1" applyBorder="1" applyAlignment="1">
      <alignment horizontal="center"/>
    </xf>
    <xf numFmtId="0" fontId="4" fillId="0" borderId="10" xfId="0" applyFont="1" applyFill="1" applyBorder="1" applyAlignment="1">
      <alignment horizontal="center"/>
    </xf>
    <xf numFmtId="2" fontId="4" fillId="3" borderId="4" xfId="0" applyNumberFormat="1" applyFont="1" applyFill="1" applyBorder="1" applyAlignment="1">
      <alignment horizontal="center"/>
    </xf>
    <xf numFmtId="0" fontId="4" fillId="4" borderId="4" xfId="0" applyFont="1" applyFill="1" applyBorder="1" applyAlignment="1">
      <alignment horizontal="center"/>
    </xf>
    <xf numFmtId="0" fontId="4" fillId="0" borderId="0" xfId="0" applyFont="1" applyBorder="1"/>
    <xf numFmtId="0" fontId="4" fillId="0" borderId="0" xfId="0" applyFont="1" applyBorder="1" applyAlignment="1">
      <alignment horizontal="center"/>
    </xf>
    <xf numFmtId="0" fontId="4" fillId="0" borderId="0" xfId="0" applyFont="1" applyAlignment="1"/>
    <xf numFmtId="2" fontId="4" fillId="0" borderId="0" xfId="0" applyNumberFormat="1" applyFont="1" applyFill="1" applyBorder="1" applyAlignment="1">
      <alignment horizontal="center"/>
    </xf>
    <xf numFmtId="2" fontId="4" fillId="0" borderId="0" xfId="0" applyNumberFormat="1" applyFont="1" applyFill="1" applyBorder="1" applyAlignment="1"/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2" fontId="4" fillId="4" borderId="8" xfId="0" applyNumberFormat="1" applyFont="1" applyFill="1" applyBorder="1" applyAlignment="1">
      <alignment horizontal="center"/>
    </xf>
    <xf numFmtId="0" fontId="4" fillId="3" borderId="14" xfId="0" applyFont="1" applyFill="1" applyBorder="1" applyAlignment="1">
      <alignment horizontal="center"/>
    </xf>
    <xf numFmtId="2" fontId="4" fillId="3" borderId="9" xfId="0" applyNumberFormat="1" applyFont="1" applyFill="1" applyBorder="1" applyAlignment="1">
      <alignment horizontal="center"/>
    </xf>
    <xf numFmtId="0" fontId="4" fillId="0" borderId="57" xfId="0" applyFont="1" applyBorder="1" applyAlignment="1">
      <alignment horizontal="center" vertical="center"/>
    </xf>
    <xf numFmtId="164" fontId="4" fillId="4" borderId="15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4" fillId="0" borderId="23" xfId="0" applyFont="1" applyFill="1" applyBorder="1" applyAlignment="1">
      <alignment horizontal="center"/>
    </xf>
    <xf numFmtId="0" fontId="4" fillId="0" borderId="55" xfId="0" applyFont="1" applyFill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2" fontId="4" fillId="4" borderId="6" xfId="0" applyNumberFormat="1" applyFont="1" applyFill="1" applyBorder="1" applyAlignment="1">
      <alignment horizontal="center"/>
    </xf>
    <xf numFmtId="2" fontId="4" fillId="4" borderId="7" xfId="0" applyNumberFormat="1" applyFont="1" applyFill="1" applyBorder="1" applyAlignment="1">
      <alignment horizontal="center"/>
    </xf>
    <xf numFmtId="0" fontId="3" fillId="0" borderId="48" xfId="0" applyFont="1" applyBorder="1" applyAlignment="1">
      <alignment horizontal="center"/>
    </xf>
    <xf numFmtId="0" fontId="4" fillId="0" borderId="23" xfId="0" applyFont="1" applyBorder="1" applyAlignment="1">
      <alignment horizontal="left"/>
    </xf>
    <xf numFmtId="0" fontId="4" fillId="0" borderId="24" xfId="0" applyFont="1" applyBorder="1" applyAlignment="1">
      <alignment horizontal="left"/>
    </xf>
    <xf numFmtId="0" fontId="4" fillId="0" borderId="25" xfId="0" applyFont="1" applyBorder="1" applyAlignment="1">
      <alignment horizontal="left"/>
    </xf>
    <xf numFmtId="0" fontId="4" fillId="0" borderId="35" xfId="0" applyFont="1" applyBorder="1" applyAlignment="1">
      <alignment horizontal="left"/>
    </xf>
    <xf numFmtId="0" fontId="4" fillId="0" borderId="42" xfId="0" applyFont="1" applyBorder="1" applyAlignment="1">
      <alignment horizontal="left"/>
    </xf>
    <xf numFmtId="0" fontId="4" fillId="0" borderId="43" xfId="0" applyFont="1" applyBorder="1" applyAlignment="1">
      <alignment horizontal="left"/>
    </xf>
    <xf numFmtId="0" fontId="4" fillId="0" borderId="8" xfId="0" applyFont="1" applyBorder="1" applyAlignment="1">
      <alignment horizontal="left"/>
    </xf>
    <xf numFmtId="0" fontId="4" fillId="0" borderId="17" xfId="0" applyFont="1" applyBorder="1" applyAlignment="1">
      <alignment horizontal="left"/>
    </xf>
    <xf numFmtId="0" fontId="4" fillId="0" borderId="27" xfId="0" applyFont="1" applyBorder="1" applyAlignment="1">
      <alignment horizontal="left"/>
    </xf>
    <xf numFmtId="0" fontId="4" fillId="0" borderId="22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0" fontId="4" fillId="0" borderId="20" xfId="0" applyFont="1" applyBorder="1" applyAlignment="1">
      <alignment horizontal="left"/>
    </xf>
    <xf numFmtId="0" fontId="4" fillId="0" borderId="21" xfId="0" applyFont="1" applyBorder="1" applyAlignment="1">
      <alignment horizontal="left"/>
    </xf>
    <xf numFmtId="0" fontId="4" fillId="0" borderId="18" xfId="0" applyFont="1" applyBorder="1" applyAlignment="1">
      <alignment horizontal="left"/>
    </xf>
    <xf numFmtId="0" fontId="4" fillId="0" borderId="22" xfId="0" applyFont="1" applyBorder="1" applyAlignment="1">
      <alignment horizontal="left"/>
    </xf>
    <xf numFmtId="0" fontId="4" fillId="0" borderId="16" xfId="0" applyFont="1" applyBorder="1" applyAlignment="1">
      <alignment horizontal="left"/>
    </xf>
    <xf numFmtId="0" fontId="4" fillId="0" borderId="32" xfId="0" applyFont="1" applyBorder="1" applyAlignment="1">
      <alignment horizontal="left"/>
    </xf>
    <xf numFmtId="0" fontId="4" fillId="0" borderId="29" xfId="0" applyFont="1" applyBorder="1" applyAlignment="1">
      <alignment horizontal="left"/>
    </xf>
    <xf numFmtId="0" fontId="4" fillId="0" borderId="33" xfId="0" applyFont="1" applyBorder="1" applyAlignment="1">
      <alignment horizontal="left"/>
    </xf>
    <xf numFmtId="0" fontId="4" fillId="0" borderId="30" xfId="0" applyFont="1" applyBorder="1" applyAlignment="1">
      <alignment horizontal="left"/>
    </xf>
    <xf numFmtId="0" fontId="4" fillId="0" borderId="12" xfId="0" applyFont="1" applyBorder="1" applyAlignment="1">
      <alignment horizontal="left"/>
    </xf>
    <xf numFmtId="0" fontId="4" fillId="0" borderId="19" xfId="0" applyFont="1" applyBorder="1" applyAlignment="1">
      <alignment horizontal="left"/>
    </xf>
    <xf numFmtId="0" fontId="4" fillId="0" borderId="26" xfId="0" applyFont="1" applyBorder="1" applyAlignment="1">
      <alignment horizontal="left"/>
    </xf>
    <xf numFmtId="0" fontId="4" fillId="0" borderId="10" xfId="0" applyFont="1" applyBorder="1" applyAlignment="1">
      <alignment horizontal="left"/>
    </xf>
    <xf numFmtId="0" fontId="4" fillId="0" borderId="28" xfId="0" applyFont="1" applyBorder="1" applyAlignment="1">
      <alignment horizontal="left"/>
    </xf>
    <xf numFmtId="0" fontId="4" fillId="0" borderId="34" xfId="0" applyFont="1" applyBorder="1" applyAlignment="1">
      <alignment horizontal="left"/>
    </xf>
    <xf numFmtId="0" fontId="4" fillId="0" borderId="31" xfId="0" applyFont="1" applyBorder="1" applyAlignment="1">
      <alignment horizontal="left"/>
    </xf>
    <xf numFmtId="0" fontId="4" fillId="0" borderId="50" xfId="0" applyFont="1" applyBorder="1" applyAlignment="1">
      <alignment horizontal="left"/>
    </xf>
    <xf numFmtId="0" fontId="4" fillId="0" borderId="45" xfId="0" applyFont="1" applyBorder="1" applyAlignment="1">
      <alignment horizontal="left"/>
    </xf>
    <xf numFmtId="0" fontId="4" fillId="0" borderId="0" xfId="0" applyFont="1" applyBorder="1" applyAlignment="1">
      <alignment horizontal="left"/>
    </xf>
    <xf numFmtId="0" fontId="4" fillId="0" borderId="47" xfId="0" applyFont="1" applyBorder="1" applyAlignment="1">
      <alignment horizontal="left"/>
    </xf>
    <xf numFmtId="0" fontId="4" fillId="0" borderId="48" xfId="0" applyFont="1" applyBorder="1" applyAlignment="1">
      <alignment horizontal="left"/>
    </xf>
    <xf numFmtId="0" fontId="4" fillId="0" borderId="42" xfId="0" applyFont="1" applyBorder="1" applyAlignment="1">
      <alignment horizontal="center"/>
    </xf>
    <xf numFmtId="0" fontId="4" fillId="0" borderId="43" xfId="0" applyFont="1" applyBorder="1" applyAlignment="1">
      <alignment horizontal="center"/>
    </xf>
    <xf numFmtId="0" fontId="3" fillId="4" borderId="6" xfId="0" applyFont="1" applyFill="1" applyBorder="1" applyAlignment="1">
      <alignment horizontal="center"/>
    </xf>
    <xf numFmtId="0" fontId="3" fillId="4" borderId="7" xfId="0" applyFont="1" applyFill="1" applyBorder="1" applyAlignment="1">
      <alignment horizontal="center"/>
    </xf>
    <xf numFmtId="0" fontId="3" fillId="4" borderId="20" xfId="0" applyFont="1" applyFill="1" applyBorder="1" applyAlignment="1">
      <alignment horizontal="center"/>
    </xf>
    <xf numFmtId="0" fontId="3" fillId="4" borderId="30" xfId="0" applyFont="1" applyFill="1" applyBorder="1" applyAlignment="1">
      <alignment horizontal="center"/>
    </xf>
    <xf numFmtId="0" fontId="4" fillId="0" borderId="50" xfId="0" applyFont="1" applyBorder="1" applyAlignment="1">
      <alignment horizontal="center"/>
    </xf>
    <xf numFmtId="0" fontId="4" fillId="0" borderId="51" xfId="0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21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0" fontId="4" fillId="4" borderId="6" xfId="0" applyFont="1" applyFill="1" applyBorder="1" applyAlignment="1">
      <alignment horizontal="center"/>
    </xf>
    <xf numFmtId="0" fontId="4" fillId="4" borderId="7" xfId="0" applyFont="1" applyFill="1" applyBorder="1" applyAlignment="1">
      <alignment horizontal="center"/>
    </xf>
    <xf numFmtId="0" fontId="3" fillId="4" borderId="8" xfId="0" applyFont="1" applyFill="1" applyBorder="1" applyAlignment="1">
      <alignment horizontal="center"/>
    </xf>
    <xf numFmtId="0" fontId="3" fillId="4" borderId="9" xfId="0" applyFont="1" applyFill="1" applyBorder="1" applyAlignment="1">
      <alignment horizontal="center"/>
    </xf>
    <xf numFmtId="0" fontId="1" fillId="0" borderId="0" xfId="0" applyFont="1" applyAlignment="1">
      <alignment horizontal="center"/>
    </xf>
  </cellXfs>
  <cellStyles count="1">
    <cellStyle name="Normal" xfId="0" builtinId="0"/>
  </cellStyles>
  <dxfs count="1">
    <dxf>
      <font>
        <color auto="1"/>
      </font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FF99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36285</xdr:colOff>
      <xdr:row>13</xdr:row>
      <xdr:rowOff>22679</xdr:rowOff>
    </xdr:from>
    <xdr:to>
      <xdr:col>12</xdr:col>
      <xdr:colOff>738187</xdr:colOff>
      <xdr:row>35</xdr:row>
      <xdr:rowOff>114301</xdr:rowOff>
    </xdr:to>
    <xdr:pic>
      <xdr:nvPicPr>
        <xdr:cNvPr id="2" name="Billede 1" descr="Envelope.jpg"/>
        <xdr:cNvPicPr>
          <a:picLocks noChangeAspect="1"/>
        </xdr:cNvPicPr>
      </xdr:nvPicPr>
      <xdr:blipFill>
        <a:blip xmlns:r="http://schemas.openxmlformats.org/officeDocument/2006/relationships" r:embed="rId1">
          <a:lum contrast="40000"/>
        </a:blip>
        <a:stretch>
          <a:fillRect/>
        </a:stretch>
      </xdr:blipFill>
      <xdr:spPr>
        <a:xfrm>
          <a:off x="4541610" y="2603954"/>
          <a:ext cx="4816702" cy="4282622"/>
        </a:xfrm>
        <a:prstGeom prst="rect">
          <a:avLst/>
        </a:prstGeom>
        <a:ln w="28575">
          <a:solidFill>
            <a:schemeClr val="tx1">
              <a:lumMod val="95000"/>
              <a:lumOff val="5000"/>
            </a:schemeClr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47624</xdr:rowOff>
    </xdr:from>
    <xdr:to>
      <xdr:col>13</xdr:col>
      <xdr:colOff>596629</xdr:colOff>
      <xdr:row>32</xdr:row>
      <xdr:rowOff>28575</xdr:rowOff>
    </xdr:to>
    <xdr:pic>
      <xdr:nvPicPr>
        <xdr:cNvPr id="2" name="Billede 1" descr="CCF24022011_00000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47624"/>
          <a:ext cx="8483329" cy="607695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28579</xdr:colOff>
      <xdr:row>33</xdr:row>
      <xdr:rowOff>38101</xdr:rowOff>
    </xdr:from>
    <xdr:to>
      <xdr:col>13</xdr:col>
      <xdr:colOff>587404</xdr:colOff>
      <xdr:row>64</xdr:row>
      <xdr:rowOff>85724</xdr:rowOff>
    </xdr:to>
    <xdr:pic>
      <xdr:nvPicPr>
        <xdr:cNvPr id="3" name="Billede 2" descr="CCF24022011_00001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579" y="6324601"/>
          <a:ext cx="8483625" cy="595312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38100</xdr:colOff>
      <xdr:row>66</xdr:row>
      <xdr:rowOff>57150</xdr:rowOff>
    </xdr:from>
    <xdr:to>
      <xdr:col>13</xdr:col>
      <xdr:colOff>590550</xdr:colOff>
      <xdr:row>98</xdr:row>
      <xdr:rowOff>152400</xdr:rowOff>
    </xdr:to>
    <xdr:pic>
      <xdr:nvPicPr>
        <xdr:cNvPr id="4" name="Billede 3" descr="CCF24022011_00002.jpg"/>
        <xdr:cNvPicPr>
          <a:picLocks noChangeAspect="1"/>
        </xdr:cNvPicPr>
      </xdr:nvPicPr>
      <xdr:blipFill>
        <a:blip xmlns:r="http://schemas.openxmlformats.org/officeDocument/2006/relationships" r:embed="rId3"/>
        <a:srcRect l="449" b="1150"/>
        <a:stretch>
          <a:fillRect/>
        </a:stretch>
      </xdr:blipFill>
      <xdr:spPr>
        <a:xfrm>
          <a:off x="38100" y="12630150"/>
          <a:ext cx="8477250" cy="619125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F0"/>
  </sheetPr>
  <dimension ref="A1:M66"/>
  <sheetViews>
    <sheetView tabSelected="1" workbookViewId="0">
      <selection activeCell="O10" sqref="O10"/>
    </sheetView>
  </sheetViews>
  <sheetFormatPr defaultRowHeight="15"/>
  <cols>
    <col min="1" max="1" width="11.7109375" customWidth="1"/>
    <col min="2" max="2" width="14.28515625" customWidth="1"/>
    <col min="3" max="3" width="10.42578125" customWidth="1"/>
    <col min="4" max="4" width="12.28515625" customWidth="1"/>
    <col min="5" max="5" width="10.140625" customWidth="1"/>
    <col min="8" max="8" width="11.28515625" customWidth="1"/>
    <col min="11" max="11" width="13.85546875" customWidth="1"/>
    <col min="13" max="13" width="11.42578125" customWidth="1"/>
    <col min="14" max="14" width="9.140625" customWidth="1"/>
  </cols>
  <sheetData>
    <row r="1" spans="1:13" ht="15" customHeight="1" thickBot="1">
      <c r="A1" s="143" t="s">
        <v>63</v>
      </c>
      <c r="B1" s="143"/>
      <c r="C1" s="143"/>
      <c r="D1" s="143"/>
      <c r="E1" s="143"/>
      <c r="F1" s="143"/>
      <c r="G1" s="143"/>
      <c r="H1" s="143"/>
      <c r="I1" s="22"/>
      <c r="J1" s="143" t="s">
        <v>65</v>
      </c>
      <c r="K1" s="143"/>
      <c r="L1" s="143"/>
      <c r="M1" s="22"/>
    </row>
    <row r="2" spans="1:13" ht="15" customHeight="1" thickTop="1">
      <c r="A2" s="153"/>
      <c r="B2" s="154"/>
      <c r="C2" s="23" t="s">
        <v>9</v>
      </c>
      <c r="D2" s="23" t="s">
        <v>10</v>
      </c>
      <c r="E2" s="23" t="s">
        <v>10</v>
      </c>
      <c r="F2" s="23" t="s">
        <v>10</v>
      </c>
      <c r="G2" s="23" t="s">
        <v>10</v>
      </c>
      <c r="H2" s="24" t="s">
        <v>11</v>
      </c>
      <c r="I2" s="22"/>
      <c r="J2" s="25" t="s">
        <v>12</v>
      </c>
      <c r="K2" s="23"/>
      <c r="L2" s="24" t="s">
        <v>13</v>
      </c>
      <c r="M2" s="22"/>
    </row>
    <row r="3" spans="1:13" ht="15" customHeight="1">
      <c r="A3" s="155" t="s">
        <v>0</v>
      </c>
      <c r="B3" s="151"/>
      <c r="C3" s="26">
        <v>146</v>
      </c>
      <c r="D3" s="27"/>
      <c r="E3" s="27"/>
      <c r="F3" s="27"/>
      <c r="G3" s="27"/>
      <c r="H3" s="28"/>
      <c r="I3" s="22"/>
      <c r="J3" s="29"/>
      <c r="K3" s="30" t="s">
        <v>14</v>
      </c>
      <c r="L3" s="31">
        <v>1</v>
      </c>
      <c r="M3" s="22"/>
    </row>
    <row r="4" spans="1:13" ht="15" customHeight="1" thickBot="1">
      <c r="A4" s="155" t="s">
        <v>1</v>
      </c>
      <c r="B4" s="151"/>
      <c r="C4" s="26">
        <v>1013</v>
      </c>
      <c r="D4" s="30"/>
      <c r="E4" s="30"/>
      <c r="F4" s="30"/>
      <c r="G4" s="30"/>
      <c r="H4" s="28"/>
      <c r="I4" s="22"/>
      <c r="J4" s="35"/>
      <c r="K4" s="30" t="s">
        <v>15</v>
      </c>
      <c r="L4" s="133"/>
      <c r="M4" s="22"/>
    </row>
    <row r="5" spans="1:13" ht="15" customHeight="1" thickTop="1">
      <c r="A5" s="155" t="s">
        <v>2</v>
      </c>
      <c r="B5" s="151"/>
      <c r="C5" s="33">
        <f>(1013-C4)*30+C3</f>
        <v>146</v>
      </c>
      <c r="D5" s="30"/>
      <c r="E5" s="30"/>
      <c r="F5" s="30"/>
      <c r="G5" s="30"/>
      <c r="H5" s="34">
        <f>(1013-H4)*30+H3</f>
        <v>30390</v>
      </c>
      <c r="I5" s="22"/>
      <c r="J5" s="35"/>
      <c r="K5" s="30" t="s">
        <v>16</v>
      </c>
      <c r="L5" s="31">
        <f>SUM(8.8/60)*J5</f>
        <v>0</v>
      </c>
      <c r="M5" s="36" t="s">
        <v>169</v>
      </c>
    </row>
    <row r="6" spans="1:13" ht="15" customHeight="1">
      <c r="A6" s="155" t="s">
        <v>3</v>
      </c>
      <c r="B6" s="151"/>
      <c r="C6" s="37"/>
      <c r="D6" s="30"/>
      <c r="E6" s="30"/>
      <c r="F6" s="30"/>
      <c r="G6" s="30"/>
      <c r="H6" s="38"/>
      <c r="I6" s="22"/>
      <c r="J6" s="32">
        <f>J5*10%</f>
        <v>0</v>
      </c>
      <c r="K6" s="30" t="s">
        <v>17</v>
      </c>
      <c r="L6" s="31">
        <f>SUM(8.8/60)*J6</f>
        <v>0</v>
      </c>
      <c r="M6" s="39" t="s">
        <v>169</v>
      </c>
    </row>
    <row r="7" spans="1:13" ht="15" customHeight="1">
      <c r="A7" s="155" t="s">
        <v>4</v>
      </c>
      <c r="B7" s="151"/>
      <c r="C7" s="37"/>
      <c r="D7" s="30"/>
      <c r="E7" s="30"/>
      <c r="F7" s="30"/>
      <c r="G7" s="30"/>
      <c r="H7" s="38"/>
      <c r="I7" s="22"/>
      <c r="J7" s="32">
        <v>45</v>
      </c>
      <c r="K7" s="30" t="s">
        <v>18</v>
      </c>
      <c r="L7" s="31">
        <f>SUM(7.8/60)*J7</f>
        <v>5.8500000000000005</v>
      </c>
      <c r="M7" s="39" t="s">
        <v>69</v>
      </c>
    </row>
    <row r="8" spans="1:13" ht="15" customHeight="1" thickBot="1">
      <c r="A8" s="155" t="s">
        <v>5</v>
      </c>
      <c r="B8" s="151"/>
      <c r="C8" s="41" t="str">
        <f>L44&amp;"/"&amp;M44</f>
        <v>80/10</v>
      </c>
      <c r="D8" s="30"/>
      <c r="E8" s="30"/>
      <c r="F8" s="30"/>
      <c r="G8" s="30"/>
      <c r="H8" s="34" t="str">
        <f>L50&amp;"/"&amp;M50</f>
        <v>/</v>
      </c>
      <c r="I8" s="22"/>
      <c r="J8" s="132"/>
      <c r="K8" s="42" t="s">
        <v>19</v>
      </c>
      <c r="L8" s="135">
        <f>SUM(8.8/60)*J8</f>
        <v>0</v>
      </c>
      <c r="M8" s="134" t="s">
        <v>169</v>
      </c>
    </row>
    <row r="9" spans="1:13" ht="15" customHeight="1" thickTop="1">
      <c r="A9" s="155" t="s">
        <v>6</v>
      </c>
      <c r="B9" s="151"/>
      <c r="C9" s="26">
        <v>11</v>
      </c>
      <c r="D9" s="27"/>
      <c r="E9" s="27"/>
      <c r="F9" s="27"/>
      <c r="G9" s="27"/>
      <c r="H9" s="28"/>
      <c r="I9" s="22"/>
      <c r="J9" s="43">
        <f>SUM(J4:J8)</f>
        <v>45</v>
      </c>
      <c r="K9" s="44" t="s">
        <v>20</v>
      </c>
      <c r="L9" s="45">
        <f>SUM(L3:L8)</f>
        <v>6.8500000000000005</v>
      </c>
      <c r="M9" s="22"/>
    </row>
    <row r="10" spans="1:13" ht="15" customHeight="1">
      <c r="A10" s="155" t="s">
        <v>7</v>
      </c>
      <c r="B10" s="151"/>
      <c r="C10" s="46">
        <f>L46</f>
        <v>4.9999999999999991</v>
      </c>
      <c r="D10" s="27"/>
      <c r="E10" s="27"/>
      <c r="F10" s="27"/>
      <c r="G10" s="27"/>
      <c r="H10" s="47">
        <f>L52</f>
        <v>0</v>
      </c>
      <c r="I10" s="22"/>
      <c r="J10" s="48">
        <f>(L10/10)*60</f>
        <v>162.89999999999998</v>
      </c>
      <c r="K10" s="30" t="s">
        <v>21</v>
      </c>
      <c r="L10" s="31">
        <f>SUM(B16-L9)</f>
        <v>27.15</v>
      </c>
      <c r="M10" s="22"/>
    </row>
    <row r="11" spans="1:13" ht="15" customHeight="1" thickBot="1">
      <c r="A11" s="156" t="s">
        <v>8</v>
      </c>
      <c r="B11" s="157"/>
      <c r="C11" s="49">
        <f>M46</f>
        <v>8.6602540378443873</v>
      </c>
      <c r="D11" s="50"/>
      <c r="E11" s="50"/>
      <c r="F11" s="50"/>
      <c r="G11" s="50"/>
      <c r="H11" s="51">
        <f>M52</f>
        <v>0</v>
      </c>
      <c r="I11" s="22"/>
      <c r="J11" s="52">
        <f>SUM(J9:J10)</f>
        <v>207.89999999999998</v>
      </c>
      <c r="K11" s="53" t="s">
        <v>22</v>
      </c>
      <c r="L11" s="54">
        <f>L9+L10</f>
        <v>34</v>
      </c>
      <c r="M11" s="22"/>
    </row>
    <row r="12" spans="1:13" ht="15" customHeight="1" thickTop="1">
      <c r="A12" s="22"/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</row>
    <row r="13" spans="1:13" ht="15" customHeight="1" thickBot="1">
      <c r="A13" s="143" t="s">
        <v>66</v>
      </c>
      <c r="B13" s="143"/>
      <c r="C13" s="143"/>
      <c r="D13" s="143"/>
      <c r="E13" s="143"/>
      <c r="F13" s="22"/>
      <c r="G13" s="22"/>
      <c r="H13" s="22"/>
      <c r="I13" s="22"/>
      <c r="J13" s="22"/>
      <c r="K13" s="22"/>
      <c r="L13" s="22"/>
      <c r="M13" s="22"/>
    </row>
    <row r="14" spans="1:13" ht="15" customHeight="1" thickTop="1">
      <c r="A14" s="158"/>
      <c r="B14" s="159"/>
      <c r="C14" s="23" t="s">
        <v>23</v>
      </c>
      <c r="D14" s="23" t="s">
        <v>24</v>
      </c>
      <c r="E14" s="24" t="s">
        <v>25</v>
      </c>
      <c r="F14" s="22"/>
      <c r="G14" s="22"/>
      <c r="H14" s="22"/>
      <c r="I14" s="22"/>
      <c r="J14" s="22"/>
      <c r="K14" s="22"/>
      <c r="L14" s="22"/>
      <c r="M14" s="22"/>
    </row>
    <row r="15" spans="1:13" ht="15" customHeight="1">
      <c r="A15" s="55" t="s">
        <v>26</v>
      </c>
      <c r="B15" s="56" t="s">
        <v>105</v>
      </c>
      <c r="C15" s="57">
        <f>VLOOKUP(B15,AircraftData,2,0)</f>
        <v>1522.9</v>
      </c>
      <c r="D15" s="58">
        <f>VLOOKUP(B15,AircraftData,3,0)</f>
        <v>84.1</v>
      </c>
      <c r="E15" s="59">
        <f>C15*D15</f>
        <v>128075.89</v>
      </c>
      <c r="F15" s="22"/>
      <c r="G15" s="22"/>
      <c r="H15" s="22"/>
      <c r="I15" s="22"/>
      <c r="J15" s="22"/>
      <c r="K15" s="22"/>
      <c r="L15" s="22"/>
      <c r="M15" s="22"/>
    </row>
    <row r="16" spans="1:13" ht="15" customHeight="1">
      <c r="A16" s="55" t="s">
        <v>111</v>
      </c>
      <c r="B16" s="60">
        <v>34</v>
      </c>
      <c r="C16" s="46">
        <f>B16*6</f>
        <v>204</v>
      </c>
      <c r="D16" s="46">
        <v>95</v>
      </c>
      <c r="E16" s="59">
        <f>C16*D16</f>
        <v>19380</v>
      </c>
      <c r="F16" s="22"/>
      <c r="G16" s="22"/>
      <c r="H16" s="22"/>
      <c r="I16" s="22"/>
      <c r="J16" s="22"/>
      <c r="K16" s="22"/>
      <c r="L16" s="22"/>
      <c r="M16" s="22"/>
    </row>
    <row r="17" spans="1:13" ht="15" customHeight="1">
      <c r="A17" s="155" t="s">
        <v>27</v>
      </c>
      <c r="B17" s="151"/>
      <c r="C17" s="61">
        <v>374</v>
      </c>
      <c r="D17" s="46">
        <v>80.5</v>
      </c>
      <c r="E17" s="59">
        <f>C17*D17</f>
        <v>30107</v>
      </c>
      <c r="F17" s="22"/>
      <c r="G17" s="22"/>
      <c r="H17" s="22"/>
      <c r="I17" s="22"/>
      <c r="J17" s="22"/>
      <c r="K17" s="22"/>
      <c r="L17" s="22"/>
      <c r="M17" s="22"/>
    </row>
    <row r="18" spans="1:13" ht="15" customHeight="1">
      <c r="A18" s="155" t="s">
        <v>28</v>
      </c>
      <c r="B18" s="151"/>
      <c r="C18" s="61">
        <v>0</v>
      </c>
      <c r="D18" s="46">
        <v>118.1</v>
      </c>
      <c r="E18" s="59">
        <f>C18*D18</f>
        <v>0</v>
      </c>
      <c r="F18" s="22"/>
      <c r="G18" s="22"/>
      <c r="H18" s="22"/>
      <c r="I18" s="22"/>
      <c r="J18" s="22"/>
      <c r="K18" s="22"/>
      <c r="L18" s="22"/>
      <c r="M18" s="22"/>
    </row>
    <row r="19" spans="1:13" ht="15" customHeight="1" thickBot="1">
      <c r="A19" s="156" t="s">
        <v>81</v>
      </c>
      <c r="B19" s="157"/>
      <c r="C19" s="62">
        <v>45</v>
      </c>
      <c r="D19" s="49">
        <v>142.80000000000001</v>
      </c>
      <c r="E19" s="63">
        <f>C19*D19</f>
        <v>6426.0000000000009</v>
      </c>
      <c r="F19" s="22"/>
      <c r="G19" s="22"/>
      <c r="H19" s="22"/>
      <c r="I19" s="22"/>
      <c r="J19" s="22"/>
      <c r="K19" s="22"/>
      <c r="L19" s="22"/>
      <c r="M19" s="22"/>
    </row>
    <row r="20" spans="1:13" ht="15" customHeight="1" thickTop="1">
      <c r="A20" s="158" t="s">
        <v>68</v>
      </c>
      <c r="B20" s="159"/>
      <c r="C20" s="64">
        <f>SUM(C15:C19)</f>
        <v>2145.9</v>
      </c>
      <c r="D20" s="64">
        <f>(E20/C20)</f>
        <v>85.739731581154757</v>
      </c>
      <c r="E20" s="65">
        <f>SUM(E15:E19)</f>
        <v>183988.89</v>
      </c>
      <c r="F20" s="22"/>
      <c r="G20" s="22"/>
      <c r="H20" s="22"/>
      <c r="I20" s="22"/>
      <c r="J20" s="22"/>
      <c r="K20" s="22"/>
      <c r="L20" s="22"/>
      <c r="M20" s="22"/>
    </row>
    <row r="21" spans="1:13" ht="15" customHeight="1">
      <c r="A21" s="171" t="s">
        <v>29</v>
      </c>
      <c r="B21" s="165"/>
      <c r="C21" s="66">
        <f>SUM(L5+L4+L3)*6</f>
        <v>6</v>
      </c>
      <c r="D21" s="66">
        <v>95</v>
      </c>
      <c r="E21" s="67">
        <f>C21*D21</f>
        <v>570</v>
      </c>
      <c r="F21" s="22"/>
      <c r="G21" s="22"/>
      <c r="H21" s="22"/>
      <c r="I21" s="22"/>
      <c r="J21" s="22"/>
      <c r="K21" s="22"/>
      <c r="L21" s="22"/>
      <c r="M21" s="22"/>
    </row>
    <row r="22" spans="1:13" ht="15" customHeight="1">
      <c r="A22" s="155" t="s">
        <v>112</v>
      </c>
      <c r="B22" s="151"/>
      <c r="C22" s="46">
        <f>C20-C21</f>
        <v>2139.9</v>
      </c>
      <c r="D22" s="46">
        <f>E22/C22</f>
        <v>85.713766998457871</v>
      </c>
      <c r="E22" s="59">
        <f>E20-E21</f>
        <v>183418.89</v>
      </c>
      <c r="F22" s="22"/>
      <c r="G22" s="22"/>
      <c r="H22" s="22"/>
      <c r="I22" s="22"/>
      <c r="J22" s="22"/>
      <c r="K22" s="22"/>
      <c r="L22" s="22"/>
      <c r="M22" s="22"/>
    </row>
    <row r="23" spans="1:13" ht="15" customHeight="1" thickBot="1">
      <c r="A23" s="156" t="s">
        <v>30</v>
      </c>
      <c r="B23" s="157"/>
      <c r="C23" s="49">
        <f>C20-C16</f>
        <v>1941.9</v>
      </c>
      <c r="D23" s="49">
        <f>E23/C23</f>
        <v>84.7669241464545</v>
      </c>
      <c r="E23" s="63">
        <f>SUM(E15,E17,E18,E19)</f>
        <v>164608.89000000001</v>
      </c>
      <c r="F23" s="22"/>
      <c r="G23" s="22"/>
      <c r="H23" s="22"/>
      <c r="I23" s="22"/>
      <c r="J23" s="22"/>
      <c r="K23" s="22"/>
      <c r="L23" s="22"/>
      <c r="M23" s="22"/>
    </row>
    <row r="24" spans="1:13" ht="15" customHeight="1" thickTop="1">
      <c r="A24" s="22"/>
      <c r="B24" s="22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</row>
    <row r="25" spans="1:13" ht="15" customHeight="1" thickBot="1">
      <c r="A25" s="143" t="s">
        <v>67</v>
      </c>
      <c r="B25" s="143"/>
      <c r="C25" s="143"/>
      <c r="D25" s="143"/>
      <c r="E25" s="143"/>
      <c r="F25" s="22"/>
      <c r="G25" s="22"/>
      <c r="H25" s="22"/>
      <c r="I25" s="22"/>
      <c r="J25" s="22"/>
      <c r="K25" s="22"/>
      <c r="L25" s="22"/>
      <c r="M25" s="22"/>
    </row>
    <row r="26" spans="1:13" ht="15" customHeight="1" thickTop="1" thickBot="1">
      <c r="A26" s="144" t="s">
        <v>31</v>
      </c>
      <c r="B26" s="145"/>
      <c r="C26" s="145"/>
      <c r="D26" s="146"/>
      <c r="E26" s="68">
        <v>458</v>
      </c>
      <c r="F26" s="22"/>
      <c r="G26" s="22"/>
      <c r="H26" s="22"/>
      <c r="I26" s="22"/>
      <c r="J26" s="22"/>
      <c r="K26" s="22"/>
      <c r="L26" s="22"/>
      <c r="M26" s="22"/>
    </row>
    <row r="27" spans="1:13" ht="15" customHeight="1" thickTop="1">
      <c r="A27" s="164" t="s">
        <v>43</v>
      </c>
      <c r="B27" s="165"/>
      <c r="C27" s="166"/>
      <c r="D27" s="69">
        <v>0.5</v>
      </c>
      <c r="E27" s="70"/>
      <c r="F27" s="22"/>
      <c r="G27" s="22"/>
      <c r="H27" s="22"/>
      <c r="I27" s="22"/>
      <c r="J27" s="22"/>
      <c r="K27" s="22"/>
      <c r="L27" s="22"/>
      <c r="M27" s="22"/>
    </row>
    <row r="28" spans="1:13" ht="15" customHeight="1">
      <c r="A28" s="150" t="s">
        <v>44</v>
      </c>
      <c r="B28" s="151"/>
      <c r="C28" s="152"/>
      <c r="D28" s="71">
        <v>0.1</v>
      </c>
      <c r="E28" s="72"/>
      <c r="F28" s="22"/>
      <c r="G28" s="22"/>
      <c r="H28" s="22"/>
      <c r="I28" s="22"/>
      <c r="J28" s="22"/>
      <c r="K28" s="22"/>
      <c r="L28" s="22"/>
      <c r="M28" s="22"/>
    </row>
    <row r="29" spans="1:13" ht="15" customHeight="1">
      <c r="A29" s="150" t="s">
        <v>35</v>
      </c>
      <c r="B29" s="151"/>
      <c r="C29" s="152"/>
      <c r="D29" s="73" t="s">
        <v>46</v>
      </c>
      <c r="E29" s="72"/>
      <c r="F29" s="22"/>
      <c r="G29" s="22"/>
      <c r="H29" s="22"/>
      <c r="I29" s="22"/>
      <c r="J29" s="22"/>
      <c r="K29" s="22"/>
      <c r="L29" s="22"/>
      <c r="M29" s="22"/>
    </row>
    <row r="30" spans="1:13" ht="15" customHeight="1">
      <c r="A30" s="150" t="s">
        <v>36</v>
      </c>
      <c r="B30" s="151"/>
      <c r="C30" s="152"/>
      <c r="D30" s="73" t="s">
        <v>47</v>
      </c>
      <c r="E30" s="72"/>
      <c r="F30" s="22"/>
      <c r="G30" s="22"/>
      <c r="H30" s="22"/>
      <c r="I30" s="22"/>
      <c r="J30" s="22"/>
      <c r="K30" s="22"/>
      <c r="L30" s="22"/>
      <c r="M30" s="22"/>
    </row>
    <row r="31" spans="1:13" ht="15" customHeight="1">
      <c r="A31" s="150" t="s">
        <v>37</v>
      </c>
      <c r="B31" s="151"/>
      <c r="C31" s="152"/>
      <c r="D31" s="73" t="s">
        <v>48</v>
      </c>
      <c r="E31" s="72"/>
      <c r="F31" s="22"/>
      <c r="G31" s="22"/>
      <c r="H31" s="22"/>
      <c r="I31" s="22"/>
      <c r="J31" s="22"/>
      <c r="K31" s="22"/>
      <c r="L31" s="22"/>
      <c r="M31" s="22"/>
    </row>
    <row r="32" spans="1:13" ht="15" customHeight="1" thickBot="1">
      <c r="A32" s="167" t="s">
        <v>34</v>
      </c>
      <c r="B32" s="157"/>
      <c r="C32" s="168"/>
      <c r="D32" s="74" t="s">
        <v>45</v>
      </c>
      <c r="E32" s="75"/>
      <c r="F32" s="22"/>
      <c r="G32" s="22"/>
      <c r="H32" s="22"/>
      <c r="I32" s="22"/>
      <c r="J32" s="22"/>
      <c r="K32" s="22"/>
      <c r="L32" s="22"/>
      <c r="M32" s="22"/>
    </row>
    <row r="33" spans="1:13" ht="15" customHeight="1" thickTop="1">
      <c r="A33" s="158" t="s">
        <v>38</v>
      </c>
      <c r="B33" s="160"/>
      <c r="C33" s="160"/>
      <c r="D33" s="161"/>
      <c r="E33" s="76">
        <f>SUM(E26:E32)</f>
        <v>458</v>
      </c>
      <c r="F33" s="22"/>
      <c r="G33" s="22"/>
      <c r="H33" s="22"/>
      <c r="I33" s="22"/>
      <c r="J33" s="22"/>
      <c r="K33" s="22"/>
      <c r="L33" s="22"/>
      <c r="M33" s="22"/>
    </row>
    <row r="34" spans="1:13" ht="15" customHeight="1">
      <c r="A34" s="155" t="s">
        <v>73</v>
      </c>
      <c r="B34" s="162"/>
      <c r="C34" s="162"/>
      <c r="D34" s="163"/>
      <c r="E34" s="77">
        <f>E33*1.25</f>
        <v>572.5</v>
      </c>
      <c r="F34" s="22"/>
      <c r="G34" s="22"/>
      <c r="H34" s="22"/>
      <c r="I34" s="22"/>
      <c r="J34" s="22"/>
      <c r="K34" s="22"/>
      <c r="L34" s="22"/>
      <c r="M34" s="22"/>
    </row>
    <row r="35" spans="1:13" ht="15" customHeight="1" thickBot="1">
      <c r="A35" s="156" t="s">
        <v>39</v>
      </c>
      <c r="B35" s="169"/>
      <c r="C35" s="169"/>
      <c r="D35" s="170"/>
      <c r="E35" s="78">
        <v>1799</v>
      </c>
      <c r="F35" s="22"/>
      <c r="G35" s="22"/>
      <c r="H35" s="22"/>
      <c r="I35" s="22"/>
      <c r="J35" s="22"/>
      <c r="K35" s="22"/>
      <c r="L35" s="22"/>
      <c r="M35" s="22"/>
    </row>
    <row r="36" spans="1:13" ht="15" customHeight="1" thickTop="1">
      <c r="A36" s="22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</row>
    <row r="37" spans="1:13" ht="15" customHeight="1" thickBot="1">
      <c r="A37" s="143" t="s">
        <v>64</v>
      </c>
      <c r="B37" s="143"/>
      <c r="C37" s="143"/>
      <c r="D37" s="143"/>
      <c r="E37" s="143"/>
      <c r="F37" s="22"/>
      <c r="G37" s="22"/>
      <c r="H37" s="22"/>
      <c r="I37" s="22"/>
      <c r="J37" s="22"/>
      <c r="K37" s="22"/>
      <c r="L37" s="22"/>
      <c r="M37" s="22"/>
    </row>
    <row r="38" spans="1:13" ht="15" customHeight="1" thickTop="1" thickBot="1">
      <c r="A38" s="147" t="s">
        <v>32</v>
      </c>
      <c r="B38" s="147"/>
      <c r="C38" s="147"/>
      <c r="D38" s="147"/>
      <c r="E38" s="79">
        <v>342</v>
      </c>
      <c r="F38" s="22"/>
      <c r="G38" s="80" t="s">
        <v>74</v>
      </c>
      <c r="H38" s="81" t="s">
        <v>75</v>
      </c>
      <c r="I38" s="82" t="s">
        <v>77</v>
      </c>
      <c r="J38" s="22"/>
      <c r="K38" s="83"/>
      <c r="L38" s="83"/>
      <c r="M38" s="22"/>
    </row>
    <row r="39" spans="1:13" ht="15" customHeight="1" thickTop="1">
      <c r="A39" s="148" t="s">
        <v>33</v>
      </c>
      <c r="B39" s="149"/>
      <c r="C39" s="149"/>
      <c r="D39" s="84">
        <v>0.2</v>
      </c>
      <c r="E39" s="70"/>
      <c r="F39" s="22"/>
      <c r="G39" s="85" t="s">
        <v>76</v>
      </c>
      <c r="H39" s="86" t="s">
        <v>75</v>
      </c>
      <c r="I39" s="87" t="s">
        <v>78</v>
      </c>
      <c r="J39" s="22"/>
      <c r="K39" s="83"/>
      <c r="L39" s="22"/>
      <c r="M39" s="22"/>
    </row>
    <row r="40" spans="1:13" ht="15" customHeight="1" thickBot="1">
      <c r="A40" s="172" t="s">
        <v>40</v>
      </c>
      <c r="B40" s="173"/>
      <c r="C40" s="173"/>
      <c r="D40" s="88">
        <v>0.3</v>
      </c>
      <c r="E40" s="72"/>
      <c r="F40" s="22"/>
      <c r="G40" s="89" t="s">
        <v>79</v>
      </c>
      <c r="H40" s="90" t="s">
        <v>75</v>
      </c>
      <c r="I40" s="91" t="s">
        <v>80</v>
      </c>
      <c r="J40" s="22"/>
      <c r="K40" s="22"/>
      <c r="L40" s="22"/>
      <c r="M40" s="22"/>
    </row>
    <row r="41" spans="1:13" ht="15" customHeight="1" thickTop="1" thickBot="1">
      <c r="A41" s="172" t="s">
        <v>41</v>
      </c>
      <c r="B41" s="173"/>
      <c r="C41" s="173"/>
      <c r="D41" s="88">
        <v>0.2</v>
      </c>
      <c r="E41" s="72"/>
      <c r="F41" s="22"/>
      <c r="G41" s="22"/>
      <c r="H41" s="22"/>
      <c r="I41" s="22"/>
      <c r="J41" s="22"/>
      <c r="K41" s="22"/>
      <c r="L41" s="22"/>
      <c r="M41" s="22"/>
    </row>
    <row r="42" spans="1:13" ht="15" customHeight="1" thickTop="1">
      <c r="A42" s="172" t="s">
        <v>42</v>
      </c>
      <c r="B42" s="173"/>
      <c r="C42" s="173"/>
      <c r="D42" s="88">
        <v>0.5</v>
      </c>
      <c r="E42" s="72"/>
      <c r="F42" s="22"/>
      <c r="G42" s="188" t="s">
        <v>95</v>
      </c>
      <c r="H42" s="189"/>
      <c r="I42" s="188" t="s">
        <v>94</v>
      </c>
      <c r="J42" s="189"/>
      <c r="K42" s="92"/>
      <c r="L42" s="178" t="s">
        <v>100</v>
      </c>
      <c r="M42" s="179"/>
    </row>
    <row r="43" spans="1:13" ht="15" customHeight="1" thickBot="1">
      <c r="A43" s="174" t="s">
        <v>49</v>
      </c>
      <c r="B43" s="175"/>
      <c r="C43" s="175"/>
      <c r="D43" s="93" t="s">
        <v>45</v>
      </c>
      <c r="E43" s="75"/>
      <c r="F43" s="22"/>
      <c r="G43" s="32" t="s">
        <v>82</v>
      </c>
      <c r="H43" s="34" t="s">
        <v>92</v>
      </c>
      <c r="I43" s="32" t="s">
        <v>82</v>
      </c>
      <c r="J43" s="34" t="s">
        <v>93</v>
      </c>
      <c r="K43" s="22"/>
      <c r="L43" s="32" t="s">
        <v>96</v>
      </c>
      <c r="M43" s="34" t="s">
        <v>97</v>
      </c>
    </row>
    <row r="44" spans="1:13" ht="15" customHeight="1" thickTop="1">
      <c r="A44" s="176" t="s">
        <v>62</v>
      </c>
      <c r="B44" s="177"/>
      <c r="C44" s="94" t="s">
        <v>50</v>
      </c>
      <c r="D44" s="94" t="s">
        <v>51</v>
      </c>
      <c r="E44" s="95"/>
      <c r="F44" s="22"/>
      <c r="G44" s="48" t="s">
        <v>83</v>
      </c>
      <c r="H44" s="34">
        <v>0.2</v>
      </c>
      <c r="I44" s="48" t="s">
        <v>83</v>
      </c>
      <c r="J44" s="34">
        <v>1</v>
      </c>
      <c r="K44" s="22"/>
      <c r="L44" s="35">
        <v>80</v>
      </c>
      <c r="M44" s="28">
        <v>10</v>
      </c>
    </row>
    <row r="45" spans="1:13" ht="15" customHeight="1">
      <c r="A45" s="182" t="s">
        <v>52</v>
      </c>
      <c r="B45" s="183"/>
      <c r="C45" s="96" t="s">
        <v>57</v>
      </c>
      <c r="D45" s="97">
        <v>0</v>
      </c>
      <c r="E45" s="98"/>
      <c r="F45" s="22"/>
      <c r="G45" s="48" t="s">
        <v>84</v>
      </c>
      <c r="H45" s="34">
        <v>0.4</v>
      </c>
      <c r="I45" s="48" t="s">
        <v>84</v>
      </c>
      <c r="J45" s="34">
        <v>0.9</v>
      </c>
      <c r="K45" s="22"/>
      <c r="L45" s="32" t="s">
        <v>98</v>
      </c>
      <c r="M45" s="34" t="s">
        <v>99</v>
      </c>
    </row>
    <row r="46" spans="1:13" ht="15" customHeight="1">
      <c r="A46" s="184" t="s">
        <v>53</v>
      </c>
      <c r="B46" s="185"/>
      <c r="C46" s="99" t="s">
        <v>58</v>
      </c>
      <c r="D46" s="100">
        <v>0.25</v>
      </c>
      <c r="E46" s="101"/>
      <c r="F46" s="22"/>
      <c r="G46" s="48" t="s">
        <v>85</v>
      </c>
      <c r="H46" s="34">
        <v>0.5</v>
      </c>
      <c r="I46" s="48" t="s">
        <v>85</v>
      </c>
      <c r="J46" s="34">
        <v>0.9</v>
      </c>
      <c r="K46" s="22"/>
      <c r="L46" s="102">
        <f>SIN(RADIANS(ABS(L44-C9*10)))*M44</f>
        <v>4.9999999999999991</v>
      </c>
      <c r="M46" s="47">
        <f>COS(RADIANS(ABS(L44-C9*10)))*M44</f>
        <v>8.6602540378443873</v>
      </c>
    </row>
    <row r="47" spans="1:13" ht="15" customHeight="1">
      <c r="A47" s="184" t="s">
        <v>54</v>
      </c>
      <c r="B47" s="185"/>
      <c r="C47" s="99" t="s">
        <v>59</v>
      </c>
      <c r="D47" s="100">
        <v>0.25</v>
      </c>
      <c r="E47" s="39"/>
      <c r="F47" s="22"/>
      <c r="G47" s="48" t="s">
        <v>86</v>
      </c>
      <c r="H47" s="34">
        <v>0.7</v>
      </c>
      <c r="I47" s="48" t="s">
        <v>86</v>
      </c>
      <c r="J47" s="34">
        <v>0.8</v>
      </c>
      <c r="K47" s="22"/>
      <c r="L47" s="180"/>
      <c r="M47" s="181"/>
    </row>
    <row r="48" spans="1:13" ht="15" customHeight="1">
      <c r="A48" s="184" t="s">
        <v>55</v>
      </c>
      <c r="B48" s="185"/>
      <c r="C48" s="99" t="s">
        <v>60</v>
      </c>
      <c r="D48" s="100">
        <v>0.5</v>
      </c>
      <c r="E48" s="39"/>
      <c r="F48" s="22"/>
      <c r="G48" s="48" t="s">
        <v>87</v>
      </c>
      <c r="H48" s="34">
        <v>0.8</v>
      </c>
      <c r="I48" s="48" t="s">
        <v>87</v>
      </c>
      <c r="J48" s="34">
        <v>0.7</v>
      </c>
      <c r="K48" s="22"/>
      <c r="L48" s="190" t="s">
        <v>101</v>
      </c>
      <c r="M48" s="191"/>
    </row>
    <row r="49" spans="1:13" ht="15" customHeight="1" thickBot="1">
      <c r="A49" s="186" t="s">
        <v>56</v>
      </c>
      <c r="B49" s="187"/>
      <c r="C49" s="103" t="s">
        <v>61</v>
      </c>
      <c r="D49" s="104">
        <v>0.5</v>
      </c>
      <c r="E49" s="40"/>
      <c r="F49" s="22"/>
      <c r="G49" s="48" t="s">
        <v>88</v>
      </c>
      <c r="H49" s="34">
        <v>0.9</v>
      </c>
      <c r="I49" s="48" t="s">
        <v>88</v>
      </c>
      <c r="J49" s="34">
        <v>0.5</v>
      </c>
      <c r="K49" s="22"/>
      <c r="L49" s="32" t="s">
        <v>96</v>
      </c>
      <c r="M49" s="34" t="s">
        <v>97</v>
      </c>
    </row>
    <row r="50" spans="1:13" ht="15" customHeight="1" thickTop="1">
      <c r="A50" s="158" t="s">
        <v>70</v>
      </c>
      <c r="B50" s="160"/>
      <c r="C50" s="160"/>
      <c r="D50" s="160"/>
      <c r="E50" s="105">
        <f>SUM(E38:E49)</f>
        <v>342</v>
      </c>
      <c r="F50" s="22"/>
      <c r="G50" s="48" t="s">
        <v>89</v>
      </c>
      <c r="H50" s="34">
        <v>0.9</v>
      </c>
      <c r="I50" s="48" t="s">
        <v>89</v>
      </c>
      <c r="J50" s="34">
        <v>0.4</v>
      </c>
      <c r="K50" s="22"/>
      <c r="L50" s="35"/>
      <c r="M50" s="28"/>
    </row>
    <row r="51" spans="1:13" ht="15" customHeight="1">
      <c r="A51" s="155" t="s">
        <v>71</v>
      </c>
      <c r="B51" s="162"/>
      <c r="C51" s="162"/>
      <c r="D51" s="162"/>
      <c r="E51" s="77">
        <f>E50*1.43</f>
        <v>489.06</v>
      </c>
      <c r="F51" s="22"/>
      <c r="G51" s="48" t="s">
        <v>90</v>
      </c>
      <c r="H51" s="34">
        <v>0.9</v>
      </c>
      <c r="I51" s="48" t="s">
        <v>90</v>
      </c>
      <c r="J51" s="34">
        <v>0.2</v>
      </c>
      <c r="K51" s="22"/>
      <c r="L51" s="32" t="s">
        <v>98</v>
      </c>
      <c r="M51" s="34" t="s">
        <v>99</v>
      </c>
    </row>
    <row r="52" spans="1:13" ht="15" customHeight="1" thickBot="1">
      <c r="A52" s="156" t="s">
        <v>72</v>
      </c>
      <c r="B52" s="169"/>
      <c r="C52" s="169"/>
      <c r="D52" s="169"/>
      <c r="E52" s="78">
        <v>1740</v>
      </c>
      <c r="F52" s="22"/>
      <c r="G52" s="52" t="s">
        <v>91</v>
      </c>
      <c r="H52" s="106">
        <v>1</v>
      </c>
      <c r="I52" s="52" t="s">
        <v>91</v>
      </c>
      <c r="J52" s="106">
        <v>0</v>
      </c>
      <c r="K52" s="22"/>
      <c r="L52" s="107">
        <f>SIN(RADIANS(ABS(L50-H9*10)))*M50</f>
        <v>0</v>
      </c>
      <c r="M52" s="51">
        <f>COS(RADIANS(ABS(L50-H9*10)))*M50</f>
        <v>0</v>
      </c>
    </row>
    <row r="53" spans="1:13" ht="15" customHeight="1" thickTop="1">
      <c r="A53" s="22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</row>
    <row r="54" spans="1:13" ht="15" customHeight="1" thickBot="1">
      <c r="A54" s="136" t="s">
        <v>113</v>
      </c>
      <c r="B54" s="136"/>
      <c r="C54" s="136"/>
      <c r="D54" s="136"/>
      <c r="E54" s="136"/>
      <c r="F54" s="136"/>
      <c r="G54" s="108"/>
      <c r="H54" s="22"/>
      <c r="I54" s="22"/>
      <c r="J54" s="22"/>
      <c r="K54" s="22"/>
      <c r="L54" s="22"/>
      <c r="M54" s="22"/>
    </row>
    <row r="55" spans="1:13" ht="15" customHeight="1" thickTop="1" thickBot="1">
      <c r="A55" s="137"/>
      <c r="B55" s="138"/>
      <c r="C55" s="109" t="s">
        <v>117</v>
      </c>
      <c r="D55" s="110" t="s">
        <v>118</v>
      </c>
      <c r="E55" s="110" t="s">
        <v>119</v>
      </c>
      <c r="F55" s="111" t="s">
        <v>120</v>
      </c>
      <c r="G55" s="22"/>
      <c r="H55" s="124"/>
      <c r="I55" s="124"/>
      <c r="J55" s="122"/>
      <c r="K55" s="22"/>
      <c r="L55" s="22"/>
      <c r="M55" s="22"/>
    </row>
    <row r="56" spans="1:13" ht="15" customHeight="1" thickTop="1">
      <c r="A56" s="112" t="s">
        <v>114</v>
      </c>
      <c r="B56" s="113" t="s">
        <v>122</v>
      </c>
      <c r="C56" s="113" t="s">
        <v>123</v>
      </c>
      <c r="D56" s="114" t="str">
        <f t="array" ref="D56">INDEX(Type,MATCH(B56&amp;C56,Airport&amp;Runway,0))</f>
        <v>ILS</v>
      </c>
      <c r="E56" s="115" t="str">
        <f t="array" ref="E56">INDEX(VV,MATCH(B56&amp;C56,Airport&amp;Runway,0))</f>
        <v>-</v>
      </c>
      <c r="F56" s="116">
        <f t="array" ref="F56">INDEX(VIZ,MATCH(B56&amp;C56,Airport&amp;Runway,0))</f>
        <v>600</v>
      </c>
      <c r="G56" s="22"/>
      <c r="H56" s="92"/>
      <c r="I56" s="123"/>
      <c r="J56" s="122"/>
      <c r="K56" s="22"/>
      <c r="L56" s="22"/>
      <c r="M56" s="22"/>
    </row>
    <row r="57" spans="1:13" ht="15" customHeight="1">
      <c r="A57" s="117" t="s">
        <v>115</v>
      </c>
      <c r="B57" s="118" t="s">
        <v>133</v>
      </c>
      <c r="C57" s="118" t="s">
        <v>135</v>
      </c>
      <c r="D57" s="33" t="str">
        <f t="array" ref="D57">INDEX(Type,MATCH(B57&amp;C57,Airport&amp;Runway,0))</f>
        <v>NDB</v>
      </c>
      <c r="E57" s="33">
        <f t="array" ref="E57">INDEX(VV,MATCH(B57&amp;C57,Airport&amp;Runway,0))</f>
        <v>700</v>
      </c>
      <c r="F57" s="34">
        <f t="array" ref="F57">INDEX(VIZ,MATCH(B57&amp;C57,Airport&amp;Runway,0))</f>
        <v>1800</v>
      </c>
      <c r="G57" s="22"/>
      <c r="H57" s="22"/>
      <c r="I57" s="122"/>
      <c r="J57" s="122"/>
      <c r="K57" s="22"/>
      <c r="L57" s="22"/>
      <c r="M57" s="22"/>
    </row>
    <row r="58" spans="1:13" ht="15" customHeight="1" thickBot="1">
      <c r="A58" s="119" t="s">
        <v>116</v>
      </c>
      <c r="B58" s="120" t="s">
        <v>122</v>
      </c>
      <c r="C58" s="120" t="s">
        <v>123</v>
      </c>
      <c r="D58" s="121" t="str">
        <f t="array" ref="D58">INDEX(Type,MATCH(B58&amp;C58,Airport&amp;Runway,0))</f>
        <v>ILS</v>
      </c>
      <c r="E58" s="121" t="str">
        <f t="array" ref="E58">INDEX(VV,MATCH(B58&amp;C58,Airport&amp;Runway,0))</f>
        <v>-</v>
      </c>
      <c r="F58" s="106">
        <f t="array" ref="F58">INDEX(VIZ,MATCH(B58&amp;C58,Airport&amp;Runway,0))</f>
        <v>600</v>
      </c>
      <c r="G58" s="22"/>
      <c r="H58" s="22"/>
      <c r="I58" s="122"/>
      <c r="J58" s="122"/>
      <c r="K58" s="22"/>
      <c r="L58" s="22"/>
      <c r="M58" s="22"/>
    </row>
    <row r="59" spans="1:13" ht="15" customHeight="1" thickTop="1" thickBot="1">
      <c r="A59" s="5"/>
      <c r="B59" s="13"/>
      <c r="C59" s="13"/>
    </row>
    <row r="60" spans="1:13" ht="15" customHeight="1" thickTop="1">
      <c r="A60" s="141" t="s">
        <v>164</v>
      </c>
      <c r="B60" s="142"/>
      <c r="C60" s="126"/>
      <c r="E60" s="139" t="s">
        <v>166</v>
      </c>
      <c r="F60" s="140"/>
    </row>
    <row r="61" spans="1:13" ht="15" customHeight="1">
      <c r="A61" s="131" t="s">
        <v>165</v>
      </c>
      <c r="B61" s="31" t="s">
        <v>167</v>
      </c>
      <c r="C61" s="125"/>
      <c r="E61" s="129"/>
      <c r="F61" s="130"/>
    </row>
    <row r="62" spans="1:13" ht="15" customHeight="1" thickBot="1">
      <c r="A62" s="10"/>
      <c r="B62" s="6">
        <v>250</v>
      </c>
      <c r="C62" s="17"/>
      <c r="E62" s="127"/>
      <c r="F62" s="128"/>
    </row>
    <row r="63" spans="1:13" ht="15" customHeight="1" thickTop="1"/>
    <row r="64" spans="1:13" ht="15" customHeight="1"/>
    <row r="65" ht="15" customHeight="1"/>
    <row r="66" ht="15" customHeight="1"/>
  </sheetData>
  <mergeCells count="57">
    <mergeCell ref="L42:M42"/>
    <mergeCell ref="L47:M47"/>
    <mergeCell ref="A50:D50"/>
    <mergeCell ref="A51:D51"/>
    <mergeCell ref="A52:D52"/>
    <mergeCell ref="A45:B45"/>
    <mergeCell ref="A46:B46"/>
    <mergeCell ref="A47:B47"/>
    <mergeCell ref="A48:B48"/>
    <mergeCell ref="A49:B49"/>
    <mergeCell ref="G42:H42"/>
    <mergeCell ref="I42:J42"/>
    <mergeCell ref="L48:M48"/>
    <mergeCell ref="A40:C40"/>
    <mergeCell ref="A41:C41"/>
    <mergeCell ref="A42:C42"/>
    <mergeCell ref="A43:C43"/>
    <mergeCell ref="A44:B44"/>
    <mergeCell ref="A18:B18"/>
    <mergeCell ref="A19:B19"/>
    <mergeCell ref="A21:B21"/>
    <mergeCell ref="A8:B8"/>
    <mergeCell ref="A9:B9"/>
    <mergeCell ref="A10:B10"/>
    <mergeCell ref="A14:B14"/>
    <mergeCell ref="J1:L1"/>
    <mergeCell ref="A13:E13"/>
    <mergeCell ref="A25:E25"/>
    <mergeCell ref="A37:E37"/>
    <mergeCell ref="A20:B20"/>
    <mergeCell ref="A11:B11"/>
    <mergeCell ref="A33:D33"/>
    <mergeCell ref="A34:D34"/>
    <mergeCell ref="A3:B3"/>
    <mergeCell ref="A4:B4"/>
    <mergeCell ref="A5:B5"/>
    <mergeCell ref="A6:B6"/>
    <mergeCell ref="A7:B7"/>
    <mergeCell ref="A27:C27"/>
    <mergeCell ref="A32:C32"/>
    <mergeCell ref="A35:D35"/>
    <mergeCell ref="A54:F54"/>
    <mergeCell ref="A55:B55"/>
    <mergeCell ref="E60:F60"/>
    <mergeCell ref="A60:B60"/>
    <mergeCell ref="A1:H1"/>
    <mergeCell ref="A26:D26"/>
    <mergeCell ref="A38:D38"/>
    <mergeCell ref="A39:C39"/>
    <mergeCell ref="A28:C28"/>
    <mergeCell ref="A29:C29"/>
    <mergeCell ref="A30:C30"/>
    <mergeCell ref="A31:C31"/>
    <mergeCell ref="A2:B2"/>
    <mergeCell ref="A22:B22"/>
    <mergeCell ref="A23:B23"/>
    <mergeCell ref="A17:B17"/>
  </mergeCells>
  <conditionalFormatting sqref="E35">
    <cfRule type="iconSet" priority="5">
      <iconSet iconSet="3TrafficLights2">
        <cfvo type="percent" val="0"/>
        <cfvo type="percent" val="5" gte="0"/>
        <cfvo type="num" val="$E$34" gte="0"/>
      </iconSet>
    </cfRule>
  </conditionalFormatting>
  <conditionalFormatting sqref="E52">
    <cfRule type="iconSet" priority="4">
      <iconSet iconSet="3TrafficLights2">
        <cfvo type="percent" val="0"/>
        <cfvo type="percent" val="5" gte="0"/>
        <cfvo type="num" val="$E$51"/>
      </iconSet>
    </cfRule>
  </conditionalFormatting>
  <conditionalFormatting sqref="C20">
    <cfRule type="cellIs" dxfId="0" priority="1" operator="greaterThan">
      <formula>2325</formula>
    </cfRule>
  </conditionalFormatting>
  <dataValidations count="6">
    <dataValidation type="list" allowBlank="1" showInputMessage="1" showErrorMessage="1" promptTitle="Chose an aircraft" sqref="B15">
      <formula1>Aircraft</formula1>
    </dataValidation>
    <dataValidation type="list" allowBlank="1" showInputMessage="1" showErrorMessage="1" sqref="B16">
      <formula1>Fuel</formula1>
    </dataValidation>
    <dataValidation type="list" allowBlank="1" showInputMessage="1" showErrorMessage="1" sqref="B56:B58">
      <formula1>Aerodrome</formula1>
    </dataValidation>
    <dataValidation type="list" allowBlank="1" showInputMessage="1" showErrorMessage="1" sqref="C56">
      <formula1>INDIRECT($B$56)</formula1>
    </dataValidation>
    <dataValidation type="list" allowBlank="1" showInputMessage="1" showErrorMessage="1" sqref="C57">
      <formula1>INDIRECT($B$57)</formula1>
    </dataValidation>
    <dataValidation type="list" allowBlank="1" showInputMessage="1" showErrorMessage="1" sqref="C58">
      <formula1>INDIRECT($B$58)</formula1>
    </dataValidation>
  </dataValidations>
  <pageMargins left="0.7" right="0.7" top="0.75" bottom="0.75" header="0.3" footer="0.3"/>
  <pageSetup paperSize="9" scale="60" orientation="portrait" horizontalDpi="0" verticalDpi="0" r:id="rId1"/>
  <ignoredErrors>
    <ignoredError sqref="D20:E20 D22 L7" formula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F0"/>
  </sheetPr>
  <dimension ref="A1:O108"/>
  <sheetViews>
    <sheetView workbookViewId="0">
      <selection activeCell="C105" sqref="C105"/>
    </sheetView>
  </sheetViews>
  <sheetFormatPr defaultRowHeight="15"/>
  <sheetData>
    <row r="1" spans="1:1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</row>
    <row r="2" spans="1:15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</row>
    <row r="3" spans="1:1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</row>
    <row r="4" spans="1:1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</row>
    <row r="5" spans="1:1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</row>
    <row r="6" spans="1:15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</row>
    <row r="7" spans="1:1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</row>
    <row r="8" spans="1:1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</row>
    <row r="9" spans="1:1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</row>
    <row r="10" spans="1: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</row>
    <row r="11" spans="1:1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</row>
    <row r="12" spans="1:1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</row>
    <row r="13" spans="1:1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</row>
    <row r="14" spans="1: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</row>
    <row r="15" spans="1:1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</row>
    <row r="16" spans="1:1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</row>
    <row r="17" spans="1:1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</row>
    <row r="18" spans="1:1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</row>
    <row r="19" spans="1:1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</row>
    <row r="20" spans="1:15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</row>
    <row r="21" spans="1:15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</row>
    <row r="22" spans="1:1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</row>
    <row r="23" spans="1:1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</row>
    <row r="24" spans="1:1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</row>
    <row r="25" spans="1:1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</row>
    <row r="26" spans="1:15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</row>
    <row r="27" spans="1:1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</row>
    <row r="28" spans="1:1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</row>
    <row r="29" spans="1:15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</row>
    <row r="30" spans="1:15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</row>
    <row r="31" spans="1:15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</row>
    <row r="32" spans="1:1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</row>
    <row r="33" spans="1:15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</row>
    <row r="34" spans="1:15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</row>
    <row r="35" spans="1:15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</row>
    <row r="36" spans="1:15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</row>
    <row r="37" spans="1:15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</row>
    <row r="38" spans="1:15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</row>
    <row r="39" spans="1:1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</row>
    <row r="40" spans="1:15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</row>
    <row r="41" spans="1:15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</row>
    <row r="42" spans="1:15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</row>
    <row r="43" spans="1:15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</row>
    <row r="44" spans="1:1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</row>
    <row r="45" spans="1:1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</row>
    <row r="46" spans="1:1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</row>
    <row r="47" spans="1:1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</row>
    <row r="48" spans="1:15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</row>
    <row r="49" spans="1:15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</row>
    <row r="50" spans="1:1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</row>
    <row r="51" spans="1:15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</row>
    <row r="52" spans="1:1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</row>
    <row r="53" spans="1:15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</row>
    <row r="54" spans="1:15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</row>
    <row r="55" spans="1:15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</row>
    <row r="56" spans="1:1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</row>
    <row r="57" spans="1:15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</row>
    <row r="58" spans="1:15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</row>
    <row r="59" spans="1:1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</row>
    <row r="60" spans="1:15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</row>
    <row r="61" spans="1:15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</row>
    <row r="62" spans="1:15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</row>
    <row r="63" spans="1:1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</row>
    <row r="64" spans="1:1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</row>
    <row r="65" spans="1:15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</row>
    <row r="66" spans="1:1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</row>
    <row r="67" spans="1:15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</row>
    <row r="68" spans="1:15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</row>
    <row r="69" spans="1:15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</row>
    <row r="70" spans="1:1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</row>
    <row r="71" spans="1:15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</row>
    <row r="72" spans="1:1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</row>
    <row r="73" spans="1:1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</row>
    <row r="74" spans="1:1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</row>
    <row r="75" spans="1:15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</row>
    <row r="76" spans="1:15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</row>
    <row r="77" spans="1:15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</row>
    <row r="78" spans="1:15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</row>
    <row r="79" spans="1:15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</row>
    <row r="80" spans="1:15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</row>
    <row r="81" spans="1:15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</row>
    <row r="82" spans="1:15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</row>
    <row r="83" spans="1:15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</row>
    <row r="84" spans="1:15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</row>
    <row r="85" spans="1:15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</row>
    <row r="86" spans="1:15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</row>
    <row r="87" spans="1:1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</row>
    <row r="88" spans="1:15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</row>
    <row r="89" spans="1:15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</row>
    <row r="90" spans="1:1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</row>
    <row r="91" spans="1:1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</row>
    <row r="92" spans="1:15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</row>
    <row r="93" spans="1:1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</row>
    <row r="94" spans="1:15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</row>
    <row r="95" spans="1:15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</row>
    <row r="96" spans="1:15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</row>
    <row r="97" spans="1:15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</row>
    <row r="98" spans="1:15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</row>
    <row r="99" spans="1:15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</row>
    <row r="100" spans="1:15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</row>
    <row r="101" spans="1:15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</row>
    <row r="102" spans="1:15">
      <c r="A102" s="5"/>
      <c r="B102" s="5"/>
      <c r="C102" s="5"/>
    </row>
    <row r="103" spans="1:15">
      <c r="A103" s="5"/>
      <c r="B103" s="13"/>
      <c r="C103" s="13"/>
    </row>
    <row r="104" spans="1:15">
      <c r="A104" s="5"/>
      <c r="B104" s="13"/>
      <c r="C104" s="13"/>
    </row>
    <row r="105" spans="1:15">
      <c r="A105" s="5"/>
      <c r="B105" s="13"/>
      <c r="C105" s="13"/>
    </row>
    <row r="106" spans="1:15">
      <c r="A106" s="5"/>
      <c r="B106" s="13"/>
      <c r="C106" s="13"/>
    </row>
    <row r="107" spans="1:15">
      <c r="A107" s="5"/>
      <c r="B107" s="13"/>
      <c r="C107" s="13"/>
    </row>
    <row r="108" spans="1:15">
      <c r="A108" s="5"/>
      <c r="B108" s="13"/>
      <c r="C108" s="13"/>
    </row>
  </sheetData>
  <pageMargins left="0.7" right="0.7" top="0.75" bottom="0.75" header="0.3" footer="0.3"/>
  <pageSetup paperSize="9" orientation="landscape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B0F0"/>
  </sheetPr>
  <dimension ref="A1:G53"/>
  <sheetViews>
    <sheetView topLeftCell="A29" workbookViewId="0">
      <selection activeCell="E53" sqref="E53"/>
    </sheetView>
  </sheetViews>
  <sheetFormatPr defaultRowHeight="15"/>
  <sheetData>
    <row r="1" spans="1:7" ht="15.75" thickBot="1"/>
    <row r="2" spans="1:7" ht="15.75" thickTop="1">
      <c r="A2" s="7" t="s">
        <v>104</v>
      </c>
      <c r="B2" s="9" t="s">
        <v>103</v>
      </c>
      <c r="C2" s="8" t="s">
        <v>102</v>
      </c>
    </row>
    <row r="3" spans="1:7">
      <c r="A3" s="1" t="s">
        <v>105</v>
      </c>
      <c r="B3" s="11">
        <v>1522.9</v>
      </c>
      <c r="C3" s="2">
        <v>84.1</v>
      </c>
    </row>
    <row r="4" spans="1:7">
      <c r="A4" s="1" t="s">
        <v>106</v>
      </c>
      <c r="B4" s="11">
        <v>1492.4</v>
      </c>
      <c r="C4" s="2">
        <v>83.01</v>
      </c>
    </row>
    <row r="5" spans="1:7">
      <c r="A5" s="1" t="s">
        <v>107</v>
      </c>
      <c r="B5" s="11">
        <v>1495.6</v>
      </c>
      <c r="C5" s="2">
        <v>82.9</v>
      </c>
    </row>
    <row r="6" spans="1:7">
      <c r="A6" s="1" t="s">
        <v>108</v>
      </c>
      <c r="B6" s="11">
        <v>1495</v>
      </c>
      <c r="C6" s="2">
        <v>86.52</v>
      </c>
    </row>
    <row r="7" spans="1:7" ht="15.75" thickBot="1">
      <c r="A7" s="10" t="s">
        <v>109</v>
      </c>
      <c r="B7" s="12">
        <v>1521</v>
      </c>
      <c r="C7" s="3">
        <v>83.88</v>
      </c>
    </row>
    <row r="8" spans="1:7" ht="16.5" thickTop="1" thickBot="1"/>
    <row r="9" spans="1:7" ht="15.75" thickTop="1">
      <c r="A9" s="7" t="s">
        <v>110</v>
      </c>
      <c r="B9" s="8" t="s">
        <v>103</v>
      </c>
    </row>
    <row r="10" spans="1:7">
      <c r="A10" s="1">
        <v>34</v>
      </c>
      <c r="B10" s="4">
        <f>A10*6</f>
        <v>204</v>
      </c>
    </row>
    <row r="11" spans="1:7" ht="15.75" thickBot="1">
      <c r="A11" s="10">
        <v>48</v>
      </c>
      <c r="B11" s="6">
        <f>A11*6</f>
        <v>288</v>
      </c>
    </row>
    <row r="12" spans="1:7" ht="15.75" thickTop="1"/>
    <row r="14" spans="1:7">
      <c r="A14" s="192" t="s">
        <v>121</v>
      </c>
      <c r="B14" s="192"/>
      <c r="C14" s="192"/>
      <c r="D14" s="192"/>
      <c r="E14" s="192"/>
      <c r="F14" s="15"/>
      <c r="G14" s="15"/>
    </row>
    <row r="15" spans="1:7">
      <c r="A15" s="16" t="s">
        <v>122</v>
      </c>
      <c r="B15" s="16" t="s">
        <v>123</v>
      </c>
      <c r="C15" s="16" t="s">
        <v>124</v>
      </c>
      <c r="D15" s="16" t="s">
        <v>125</v>
      </c>
      <c r="E15" s="16" t="s">
        <v>126</v>
      </c>
    </row>
    <row r="16" spans="1:7">
      <c r="A16" s="16" t="s">
        <v>127</v>
      </c>
      <c r="B16" s="16" t="s">
        <v>128</v>
      </c>
      <c r="C16" s="16" t="s">
        <v>129</v>
      </c>
    </row>
    <row r="17" spans="1:7">
      <c r="A17" s="16" t="s">
        <v>130</v>
      </c>
      <c r="B17" s="16" t="s">
        <v>131</v>
      </c>
      <c r="C17" s="16" t="s">
        <v>132</v>
      </c>
    </row>
    <row r="18" spans="1:7">
      <c r="A18" s="16" t="s">
        <v>133</v>
      </c>
      <c r="B18" s="16" t="s">
        <v>134</v>
      </c>
      <c r="C18" s="16" t="s">
        <v>135</v>
      </c>
    </row>
    <row r="19" spans="1:7">
      <c r="A19" s="16" t="s">
        <v>136</v>
      </c>
      <c r="B19" s="16" t="s">
        <v>137</v>
      </c>
      <c r="C19" s="16" t="s">
        <v>138</v>
      </c>
      <c r="D19" s="16"/>
      <c r="E19" s="16"/>
    </row>
    <row r="20" spans="1:7">
      <c r="A20" s="16" t="s">
        <v>139</v>
      </c>
      <c r="B20" s="16" t="s">
        <v>140</v>
      </c>
      <c r="C20" s="16" t="s">
        <v>141</v>
      </c>
      <c r="D20" s="16"/>
    </row>
    <row r="21" spans="1:7">
      <c r="A21" s="16" t="s">
        <v>142</v>
      </c>
      <c r="B21" s="16" t="s">
        <v>143</v>
      </c>
      <c r="C21" s="16" t="s">
        <v>144</v>
      </c>
    </row>
    <row r="22" spans="1:7">
      <c r="A22" s="16" t="s">
        <v>145</v>
      </c>
      <c r="B22" s="16" t="s">
        <v>163</v>
      </c>
      <c r="C22" s="16" t="s">
        <v>146</v>
      </c>
      <c r="D22" s="16"/>
      <c r="E22" s="16"/>
      <c r="F22" s="16"/>
      <c r="G22" s="16"/>
    </row>
    <row r="23" spans="1:7">
      <c r="A23" s="16" t="s">
        <v>147</v>
      </c>
      <c r="B23" s="16" t="s">
        <v>148</v>
      </c>
      <c r="C23" s="16" t="s">
        <v>149</v>
      </c>
      <c r="D23" s="16" t="s">
        <v>150</v>
      </c>
      <c r="E23" s="16" t="s">
        <v>151</v>
      </c>
      <c r="F23" s="16" t="s">
        <v>152</v>
      </c>
      <c r="G23" s="16" t="s">
        <v>153</v>
      </c>
    </row>
    <row r="24" spans="1:7">
      <c r="A24" s="16" t="s">
        <v>154</v>
      </c>
      <c r="B24" s="16" t="s">
        <v>155</v>
      </c>
      <c r="C24" s="16" t="s">
        <v>156</v>
      </c>
      <c r="D24" s="16"/>
      <c r="E24" s="16"/>
    </row>
    <row r="27" spans="1:7">
      <c r="A27" s="15" t="s">
        <v>157</v>
      </c>
      <c r="B27" s="18" t="s">
        <v>158</v>
      </c>
      <c r="C27" s="18" t="s">
        <v>159</v>
      </c>
      <c r="D27" s="18" t="s">
        <v>119</v>
      </c>
      <c r="E27" s="18" t="s">
        <v>120</v>
      </c>
    </row>
    <row r="28" spans="1:7">
      <c r="A28" s="19" t="s">
        <v>122</v>
      </c>
      <c r="B28" s="16" t="s">
        <v>123</v>
      </c>
      <c r="C28" s="16" t="s">
        <v>160</v>
      </c>
      <c r="D28" s="20" t="s">
        <v>161</v>
      </c>
      <c r="E28" s="20">
        <v>600</v>
      </c>
    </row>
    <row r="29" spans="1:7">
      <c r="A29" s="19" t="s">
        <v>122</v>
      </c>
      <c r="B29" s="16" t="s">
        <v>124</v>
      </c>
      <c r="C29" s="16" t="s">
        <v>160</v>
      </c>
      <c r="D29" s="20" t="s">
        <v>161</v>
      </c>
      <c r="E29" s="20">
        <v>600</v>
      </c>
    </row>
    <row r="30" spans="1:7">
      <c r="A30" s="19" t="s">
        <v>122</v>
      </c>
      <c r="B30" s="16" t="s">
        <v>125</v>
      </c>
      <c r="C30" s="16" t="s">
        <v>162</v>
      </c>
      <c r="D30" s="21">
        <v>500</v>
      </c>
      <c r="E30" s="20">
        <v>1500</v>
      </c>
    </row>
    <row r="31" spans="1:7">
      <c r="A31" s="19" t="s">
        <v>122</v>
      </c>
      <c r="B31" s="16" t="s">
        <v>126</v>
      </c>
      <c r="C31" s="16" t="s">
        <v>162</v>
      </c>
      <c r="D31" s="21">
        <v>500</v>
      </c>
      <c r="E31" s="20">
        <v>1500</v>
      </c>
    </row>
    <row r="32" spans="1:7">
      <c r="A32" s="19" t="s">
        <v>127</v>
      </c>
      <c r="B32" s="16" t="s">
        <v>128</v>
      </c>
      <c r="C32" s="16" t="s">
        <v>162</v>
      </c>
      <c r="D32" s="21">
        <v>600</v>
      </c>
      <c r="E32" s="20">
        <v>1500</v>
      </c>
    </row>
    <row r="33" spans="1:5">
      <c r="A33" s="19" t="s">
        <v>127</v>
      </c>
      <c r="B33" s="16" t="s">
        <v>129</v>
      </c>
      <c r="C33" t="s">
        <v>168</v>
      </c>
      <c r="D33" s="20">
        <v>300</v>
      </c>
      <c r="E33" s="20">
        <v>600</v>
      </c>
    </row>
    <row r="34" spans="1:5">
      <c r="A34" s="19" t="s">
        <v>130</v>
      </c>
      <c r="B34" s="16" t="s">
        <v>131</v>
      </c>
      <c r="C34" t="s">
        <v>168</v>
      </c>
      <c r="D34" s="20">
        <v>400</v>
      </c>
      <c r="E34" s="20">
        <v>600</v>
      </c>
    </row>
    <row r="35" spans="1:5">
      <c r="A35" s="19" t="s">
        <v>130</v>
      </c>
      <c r="B35" s="16" t="s">
        <v>132</v>
      </c>
      <c r="C35" t="s">
        <v>168</v>
      </c>
      <c r="D35" s="20">
        <v>500</v>
      </c>
      <c r="E35" s="20">
        <v>600</v>
      </c>
    </row>
    <row r="36" spans="1:5">
      <c r="A36" s="16" t="s">
        <v>133</v>
      </c>
      <c r="B36" s="16" t="s">
        <v>134</v>
      </c>
      <c r="C36" t="s">
        <v>168</v>
      </c>
      <c r="D36" s="20">
        <v>400</v>
      </c>
      <c r="E36" s="20">
        <v>600</v>
      </c>
    </row>
    <row r="37" spans="1:5">
      <c r="A37" s="16" t="s">
        <v>133</v>
      </c>
      <c r="B37" s="16" t="s">
        <v>135</v>
      </c>
      <c r="C37" t="s">
        <v>170</v>
      </c>
      <c r="D37" s="20">
        <v>700</v>
      </c>
      <c r="E37" s="20">
        <v>1800</v>
      </c>
    </row>
    <row r="38" spans="1:5">
      <c r="A38" s="16" t="s">
        <v>136</v>
      </c>
      <c r="B38" s="16" t="s">
        <v>137</v>
      </c>
      <c r="C38" t="s">
        <v>168</v>
      </c>
      <c r="D38" s="20">
        <v>400</v>
      </c>
      <c r="E38" s="20">
        <v>600</v>
      </c>
    </row>
    <row r="39" spans="1:5">
      <c r="A39" s="16" t="s">
        <v>136</v>
      </c>
      <c r="B39" s="16" t="s">
        <v>138</v>
      </c>
      <c r="C39" t="s">
        <v>168</v>
      </c>
      <c r="D39" s="20">
        <v>400</v>
      </c>
      <c r="E39" s="20">
        <v>600</v>
      </c>
    </row>
    <row r="40" spans="1:5">
      <c r="A40" s="16" t="s">
        <v>139</v>
      </c>
      <c r="B40" s="16" t="s">
        <v>140</v>
      </c>
      <c r="C40" t="s">
        <v>168</v>
      </c>
      <c r="D40" s="20">
        <v>400</v>
      </c>
      <c r="E40" s="20">
        <v>800</v>
      </c>
    </row>
    <row r="41" spans="1:5">
      <c r="A41" s="16" t="s">
        <v>139</v>
      </c>
      <c r="B41" s="16" t="s">
        <v>141</v>
      </c>
      <c r="C41" t="s">
        <v>168</v>
      </c>
      <c r="D41" s="20">
        <v>300</v>
      </c>
      <c r="E41" s="20">
        <v>600</v>
      </c>
    </row>
    <row r="42" spans="1:5">
      <c r="A42" s="16" t="s">
        <v>142</v>
      </c>
      <c r="B42" s="16" t="s">
        <v>143</v>
      </c>
      <c r="C42" t="s">
        <v>168</v>
      </c>
      <c r="D42" s="20">
        <v>300</v>
      </c>
      <c r="E42" s="20">
        <v>600</v>
      </c>
    </row>
    <row r="43" spans="1:5">
      <c r="A43" s="16" t="s">
        <v>142</v>
      </c>
      <c r="B43" s="16" t="s">
        <v>144</v>
      </c>
      <c r="C43" t="s">
        <v>168</v>
      </c>
      <c r="D43" s="20">
        <v>400</v>
      </c>
      <c r="E43" s="20">
        <v>600</v>
      </c>
    </row>
    <row r="44" spans="1:5">
      <c r="A44" s="16" t="s">
        <v>145</v>
      </c>
      <c r="B44" s="16" t="s">
        <v>163</v>
      </c>
      <c r="C44" t="s">
        <v>168</v>
      </c>
      <c r="D44" s="20">
        <v>500</v>
      </c>
      <c r="E44" s="20">
        <v>600</v>
      </c>
    </row>
    <row r="45" spans="1:5">
      <c r="A45" s="16" t="s">
        <v>145</v>
      </c>
      <c r="B45" s="16" t="s">
        <v>146</v>
      </c>
      <c r="C45" t="s">
        <v>168</v>
      </c>
      <c r="D45" s="20">
        <v>500</v>
      </c>
      <c r="E45" s="20">
        <v>700</v>
      </c>
    </row>
    <row r="46" spans="1:5">
      <c r="A46" s="16" t="s">
        <v>147</v>
      </c>
      <c r="B46" s="16" t="s">
        <v>148</v>
      </c>
      <c r="C46" t="s">
        <v>168</v>
      </c>
      <c r="D46" s="20">
        <v>500</v>
      </c>
      <c r="E46" s="20">
        <v>600</v>
      </c>
    </row>
    <row r="47" spans="1:5">
      <c r="A47" s="16" t="s">
        <v>147</v>
      </c>
      <c r="B47" s="16" t="s">
        <v>149</v>
      </c>
      <c r="C47" t="s">
        <v>168</v>
      </c>
      <c r="D47" s="20">
        <v>500</v>
      </c>
      <c r="E47" s="20">
        <v>600</v>
      </c>
    </row>
    <row r="48" spans="1:5">
      <c r="A48" s="16" t="s">
        <v>147</v>
      </c>
      <c r="B48" s="16" t="s">
        <v>150</v>
      </c>
      <c r="C48" t="s">
        <v>168</v>
      </c>
      <c r="D48" s="20">
        <v>500</v>
      </c>
      <c r="E48" s="20">
        <v>600</v>
      </c>
    </row>
    <row r="49" spans="1:5">
      <c r="A49" s="16" t="s">
        <v>147</v>
      </c>
      <c r="B49" s="16" t="s">
        <v>151</v>
      </c>
      <c r="C49" t="s">
        <v>168</v>
      </c>
      <c r="D49" s="20">
        <v>400</v>
      </c>
      <c r="E49" s="20">
        <v>600</v>
      </c>
    </row>
    <row r="50" spans="1:5">
      <c r="A50" s="16" t="s">
        <v>147</v>
      </c>
      <c r="B50" s="16" t="s">
        <v>152</v>
      </c>
      <c r="C50" t="s">
        <v>168</v>
      </c>
      <c r="D50" s="20">
        <v>400</v>
      </c>
      <c r="E50" s="20">
        <v>600</v>
      </c>
    </row>
    <row r="51" spans="1:5">
      <c r="A51" s="16" t="s">
        <v>147</v>
      </c>
      <c r="B51" s="16" t="s">
        <v>153</v>
      </c>
      <c r="C51" t="s">
        <v>168</v>
      </c>
      <c r="D51" s="20">
        <v>500</v>
      </c>
      <c r="E51" s="20">
        <v>600</v>
      </c>
    </row>
    <row r="52" spans="1:5">
      <c r="A52" s="16" t="s">
        <v>154</v>
      </c>
      <c r="B52" s="16" t="s">
        <v>155</v>
      </c>
      <c r="C52" t="s">
        <v>168</v>
      </c>
      <c r="D52" s="20">
        <v>500</v>
      </c>
      <c r="E52" s="20">
        <v>700</v>
      </c>
    </row>
    <row r="53" spans="1:5">
      <c r="A53" s="16" t="s">
        <v>154</v>
      </c>
      <c r="B53" s="16" t="s">
        <v>156</v>
      </c>
      <c r="C53" t="s">
        <v>168</v>
      </c>
      <c r="D53" s="20">
        <v>500</v>
      </c>
      <c r="E53" s="20">
        <v>600</v>
      </c>
    </row>
  </sheetData>
  <mergeCells count="1">
    <mergeCell ref="A14:E1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3</vt:i4>
      </vt:variant>
      <vt:variant>
        <vt:lpstr>Navngivne områder</vt:lpstr>
      </vt:variant>
      <vt:variant>
        <vt:i4>21</vt:i4>
      </vt:variant>
    </vt:vector>
  </HeadingPairs>
  <TitlesOfParts>
    <vt:vector size="24" baseType="lpstr">
      <vt:lpstr>Weight &amp; Ballance</vt:lpstr>
      <vt:lpstr>Performance Charts</vt:lpstr>
      <vt:lpstr>Data</vt:lpstr>
      <vt:lpstr>Aerodrome</vt:lpstr>
      <vt:lpstr>Aircraft</vt:lpstr>
      <vt:lpstr>AircraftData</vt:lpstr>
      <vt:lpstr>Airport</vt:lpstr>
      <vt:lpstr>EKAH</vt:lpstr>
      <vt:lpstr>EKBI</vt:lpstr>
      <vt:lpstr>EKCH</vt:lpstr>
      <vt:lpstr>EKKA</vt:lpstr>
      <vt:lpstr>EKOD</vt:lpstr>
      <vt:lpstr>EKRK</vt:lpstr>
      <vt:lpstr>EKSP</vt:lpstr>
      <vt:lpstr>EKYT</vt:lpstr>
      <vt:lpstr>ESMS</vt:lpstr>
      <vt:lpstr>ESTA</vt:lpstr>
      <vt:lpstr>Fuel</vt:lpstr>
      <vt:lpstr>FuelData</vt:lpstr>
      <vt:lpstr>Runway</vt:lpstr>
      <vt:lpstr>Type</vt:lpstr>
      <vt:lpstr>'Weight &amp; Ballance'!Udskriftsområde</vt:lpstr>
      <vt:lpstr>VIZ</vt:lpstr>
      <vt:lpstr>VV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Vatslav Roudnitski</dc:creator>
  <cp:lastModifiedBy>Vatslav Roudnitski</cp:lastModifiedBy>
  <cp:lastPrinted>2012-12-20T18:42:37Z</cp:lastPrinted>
  <dcterms:created xsi:type="dcterms:W3CDTF">2011-02-11T20:25:39Z</dcterms:created>
  <dcterms:modified xsi:type="dcterms:W3CDTF">2012-12-20T18:42:40Z</dcterms:modified>
</cp:coreProperties>
</file>